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4000" windowHeight="9735" tabRatio="742"/>
  </bookViews>
  <sheets>
    <sheet name="Revenue Forecast" sheetId="1" r:id="rId1"/>
    <sheet name="Expense Forecast" sheetId="2" r:id="rId2"/>
    <sheet name="Graphs" sheetId="4" r:id="rId3"/>
    <sheet name="Chart1" sheetId="5" r:id="rId4"/>
    <sheet name="Chart2" sheetId="11" r:id="rId5"/>
    <sheet name="2018 Floor Plans" sheetId="3" r:id="rId6"/>
    <sheet name="2016 Floor Plans" sheetId="6" r:id="rId7"/>
  </sheets>
  <definedNames>
    <definedName name="_xlnm.Print_Titles" localSheetId="0">'Revenue Forecast'!$1:$12</definedName>
  </definedNames>
  <calcPr calcId="145621"/>
</workbook>
</file>

<file path=xl/calcChain.xml><?xml version="1.0" encoding="utf-8"?>
<calcChain xmlns="http://schemas.openxmlformats.org/spreadsheetml/2006/main">
  <c r="M6" i="1" l="1"/>
  <c r="I19" i="1" l="1"/>
  <c r="S17" i="2" l="1"/>
  <c r="S16" i="2"/>
  <c r="R16" i="2"/>
  <c r="Q16" i="2"/>
  <c r="D60" i="1" l="1"/>
  <c r="M14" i="1"/>
  <c r="G22" i="2" l="1"/>
  <c r="G21" i="2"/>
  <c r="G20" i="2"/>
  <c r="G19" i="2"/>
  <c r="J77" i="1"/>
  <c r="E7" i="1" l="1"/>
  <c r="E6" i="1"/>
  <c r="E5" i="1"/>
  <c r="E4" i="1"/>
  <c r="X25" i="4" l="1"/>
  <c r="W25" i="4"/>
  <c r="V25" i="4"/>
  <c r="U25" i="4"/>
  <c r="T25" i="4"/>
  <c r="S25" i="4"/>
  <c r="Q25" i="4"/>
  <c r="P25" i="4"/>
  <c r="P20" i="4"/>
  <c r="Q20" i="4"/>
  <c r="S20" i="4"/>
  <c r="T20" i="4"/>
  <c r="U20" i="4"/>
  <c r="V20" i="4"/>
  <c r="W20" i="4"/>
  <c r="X20" i="4"/>
  <c r="P21" i="4"/>
  <c r="Q21" i="4"/>
  <c r="S21" i="4"/>
  <c r="T21" i="4"/>
  <c r="U21" i="4"/>
  <c r="V21" i="4"/>
  <c r="W21" i="4"/>
  <c r="X21" i="4"/>
  <c r="P22" i="4"/>
  <c r="Q22" i="4"/>
  <c r="S22" i="4"/>
  <c r="T22" i="4"/>
  <c r="U22" i="4"/>
  <c r="V22" i="4"/>
  <c r="W22" i="4"/>
  <c r="X22" i="4"/>
  <c r="P23" i="4"/>
  <c r="Q23" i="4"/>
  <c r="S23" i="4"/>
  <c r="T23" i="4"/>
  <c r="U23" i="4"/>
  <c r="V23" i="4"/>
  <c r="W23" i="4"/>
  <c r="X23" i="4"/>
  <c r="P24" i="4"/>
  <c r="Q24" i="4"/>
  <c r="S24" i="4"/>
  <c r="T24" i="4"/>
  <c r="U24" i="4"/>
  <c r="V24" i="4"/>
  <c r="W24" i="4"/>
  <c r="X24" i="4"/>
  <c r="I25" i="4"/>
  <c r="I24" i="4"/>
  <c r="I23" i="4"/>
  <c r="I22" i="4"/>
  <c r="I21" i="4"/>
  <c r="I20" i="4"/>
  <c r="O21" i="4"/>
  <c r="O20" i="4"/>
  <c r="E44" i="1"/>
  <c r="E43" i="1"/>
  <c r="E41" i="1"/>
  <c r="J72" i="1"/>
  <c r="J63" i="1"/>
  <c r="J55" i="1"/>
  <c r="J47" i="1"/>
  <c r="J39" i="1"/>
  <c r="J25" i="2" l="1"/>
  <c r="R25" i="4" s="1"/>
  <c r="F25" i="2"/>
  <c r="N25" i="4" s="1"/>
  <c r="F23" i="2"/>
  <c r="N24" i="4" s="1"/>
  <c r="F22" i="2"/>
  <c r="N23" i="4" s="1"/>
  <c r="F21" i="2"/>
  <c r="N22" i="4" s="1"/>
  <c r="F20" i="2"/>
  <c r="N21" i="4" s="1"/>
  <c r="F19" i="2"/>
  <c r="N20" i="4" s="1"/>
  <c r="E25" i="2"/>
  <c r="M25" i="4" s="1"/>
  <c r="D25" i="2"/>
  <c r="L25" i="4" s="1"/>
  <c r="C25" i="2"/>
  <c r="K25" i="4" s="1"/>
  <c r="B25" i="2"/>
  <c r="J25" i="4" s="1"/>
  <c r="B20" i="2"/>
  <c r="J21" i="4" s="1"/>
  <c r="C20" i="2"/>
  <c r="K21" i="4" s="1"/>
  <c r="D20" i="2"/>
  <c r="L21" i="4" s="1"/>
  <c r="E20" i="2"/>
  <c r="M21" i="4" s="1"/>
  <c r="B21" i="2"/>
  <c r="J22" i="4" s="1"/>
  <c r="C21" i="2"/>
  <c r="K22" i="4" s="1"/>
  <c r="D21" i="2"/>
  <c r="L22" i="4" s="1"/>
  <c r="E21" i="2"/>
  <c r="M22" i="4" s="1"/>
  <c r="B22" i="2"/>
  <c r="J23" i="4" s="1"/>
  <c r="C22" i="2"/>
  <c r="K23" i="4" s="1"/>
  <c r="D22" i="2"/>
  <c r="L23" i="4" s="1"/>
  <c r="E22" i="2"/>
  <c r="M23" i="4" s="1"/>
  <c r="B23" i="2"/>
  <c r="J24" i="4" s="1"/>
  <c r="C23" i="2"/>
  <c r="K24" i="4" s="1"/>
  <c r="D23" i="2"/>
  <c r="L24" i="4" s="1"/>
  <c r="E23" i="2"/>
  <c r="M24" i="4" s="1"/>
  <c r="E19" i="2"/>
  <c r="M20" i="4" s="1"/>
  <c r="D19" i="2"/>
  <c r="L20" i="4" s="1"/>
  <c r="C19" i="2"/>
  <c r="K20" i="4" s="1"/>
  <c r="B19" i="2"/>
  <c r="J20" i="4" s="1"/>
  <c r="G25" i="2"/>
  <c r="O25" i="4" s="1"/>
  <c r="O22" i="4"/>
  <c r="O23" i="4"/>
  <c r="G23" i="2"/>
  <c r="O24" i="4" s="1"/>
  <c r="E17" i="2"/>
  <c r="D17" i="2"/>
  <c r="C17" i="2"/>
  <c r="B17" i="2"/>
  <c r="C16" i="2"/>
  <c r="B16" i="2"/>
  <c r="J20" i="2"/>
  <c r="R21" i="4" s="1"/>
  <c r="J21" i="2"/>
  <c r="R22" i="4" s="1"/>
  <c r="J22" i="2"/>
  <c r="R23" i="4" s="1"/>
  <c r="J23" i="2"/>
  <c r="R24" i="4" s="1"/>
  <c r="J19" i="2"/>
  <c r="R20" i="4" s="1"/>
  <c r="L17" i="2"/>
  <c r="J17" i="2"/>
  <c r="J16" i="2"/>
  <c r="F16" i="2"/>
  <c r="F17" i="2"/>
  <c r="Y25" i="4" l="1"/>
  <c r="Y20" i="4"/>
  <c r="Y24" i="4"/>
  <c r="Y23" i="4"/>
  <c r="Y22" i="4"/>
  <c r="Y21" i="4"/>
  <c r="M3" i="1"/>
  <c r="M4" i="1" s="1"/>
  <c r="Q19" i="2"/>
  <c r="Q17" i="2"/>
  <c r="R17" i="2"/>
  <c r="J41" i="1"/>
  <c r="D16" i="2"/>
  <c r="C27" i="1"/>
  <c r="D27" i="1" s="1"/>
  <c r="J22" i="1"/>
  <c r="C19" i="1"/>
  <c r="D19" i="1" s="1"/>
  <c r="G14" i="1"/>
  <c r="E14" i="1"/>
  <c r="I22" i="1" l="1"/>
  <c r="L22" i="1" s="1"/>
  <c r="E19" i="1"/>
  <c r="F19" i="1" s="1"/>
  <c r="J14" i="1"/>
  <c r="J19" i="1" s="1"/>
  <c r="G19" i="1"/>
  <c r="H19" i="1" s="1"/>
  <c r="G27" i="1"/>
  <c r="H27" i="1" s="1"/>
  <c r="K22" i="1" l="1"/>
  <c r="J27" i="1"/>
  <c r="I14" i="1" l="1"/>
  <c r="L14" i="1" s="1"/>
  <c r="I10" i="4"/>
  <c r="I11" i="4"/>
  <c r="I12" i="4"/>
  <c r="I9" i="4"/>
  <c r="I8" i="4"/>
  <c r="I7" i="4"/>
  <c r="K14" i="1" l="1"/>
  <c r="L19" i="1"/>
  <c r="K19" i="1" s="1"/>
  <c r="M22" i="1"/>
  <c r="E3" i="1" l="1"/>
  <c r="I76" i="1"/>
  <c r="I75" i="1"/>
  <c r="I74" i="1"/>
  <c r="I73" i="1"/>
  <c r="L73" i="1" s="1"/>
  <c r="I67" i="1"/>
  <c r="I66" i="1"/>
  <c r="I65" i="1"/>
  <c r="I64" i="1"/>
  <c r="I59" i="1"/>
  <c r="I58" i="1"/>
  <c r="I57" i="1"/>
  <c r="I56" i="1"/>
  <c r="I51" i="1"/>
  <c r="I50" i="1"/>
  <c r="I49" i="1"/>
  <c r="I48" i="1"/>
  <c r="I43" i="1"/>
  <c r="I42" i="1"/>
  <c r="I41" i="1"/>
  <c r="L41" i="1" s="1"/>
  <c r="K41" i="1" s="1"/>
  <c r="I40" i="1"/>
  <c r="I32" i="1"/>
  <c r="G75" i="1"/>
  <c r="J75" i="1" s="1"/>
  <c r="G73" i="1"/>
  <c r="J73" i="1" s="1"/>
  <c r="G66" i="1"/>
  <c r="G64" i="1"/>
  <c r="G58" i="1"/>
  <c r="G56" i="1"/>
  <c r="G50" i="1"/>
  <c r="G48" i="1"/>
  <c r="G42" i="1"/>
  <c r="G40" i="1"/>
  <c r="E76" i="1"/>
  <c r="J76" i="1" s="1"/>
  <c r="E74" i="1"/>
  <c r="J74" i="1" s="1"/>
  <c r="E67" i="1"/>
  <c r="E65" i="1"/>
  <c r="E59" i="1"/>
  <c r="E57" i="1"/>
  <c r="E51" i="1"/>
  <c r="E49" i="1"/>
  <c r="E33" i="1"/>
  <c r="E35" i="1"/>
  <c r="I63" i="1" l="1"/>
  <c r="I31" i="1" s="1"/>
  <c r="L31" i="1" s="1"/>
  <c r="I39" i="1"/>
  <c r="L74" i="1"/>
  <c r="K74" i="1" s="1"/>
  <c r="L75" i="1"/>
  <c r="K75" i="1" s="1"/>
  <c r="L76" i="1"/>
  <c r="K76" i="1" s="1"/>
  <c r="K73" i="1"/>
  <c r="K12" i="4"/>
  <c r="J49" i="1"/>
  <c r="L49" i="1"/>
  <c r="L51" i="1"/>
  <c r="J51" i="1"/>
  <c r="L42" i="1"/>
  <c r="J42" i="1"/>
  <c r="L57" i="1"/>
  <c r="J57" i="1"/>
  <c r="L48" i="1"/>
  <c r="J48" i="1"/>
  <c r="L59" i="1"/>
  <c r="J59" i="1"/>
  <c r="L50" i="1"/>
  <c r="J50" i="1"/>
  <c r="L40" i="1"/>
  <c r="J40" i="1"/>
  <c r="L65" i="1"/>
  <c r="K65" i="1" s="1"/>
  <c r="J65" i="1"/>
  <c r="J56" i="1"/>
  <c r="L56" i="1"/>
  <c r="L67" i="1"/>
  <c r="K67" i="1" s="1"/>
  <c r="J67" i="1"/>
  <c r="L58" i="1"/>
  <c r="J58" i="1"/>
  <c r="L64" i="1"/>
  <c r="K64" i="1" s="1"/>
  <c r="J64" i="1"/>
  <c r="L43" i="1"/>
  <c r="J43" i="1"/>
  <c r="J66" i="1"/>
  <c r="L66" i="1"/>
  <c r="K66" i="1" s="1"/>
  <c r="L39" i="1"/>
  <c r="N12" i="4" l="1"/>
  <c r="M12" i="4"/>
  <c r="L12" i="4"/>
  <c r="I55" i="1"/>
  <c r="L55" i="1" s="1"/>
  <c r="L63" i="1"/>
  <c r="K63" i="1" s="1"/>
  <c r="I72" i="1"/>
  <c r="L72" i="1" s="1"/>
  <c r="I47" i="1"/>
  <c r="L47" i="1" s="1"/>
  <c r="L52" i="1" s="1"/>
  <c r="I52" i="1" s="1"/>
  <c r="K42" i="1"/>
  <c r="K56" i="1"/>
  <c r="J60" i="1"/>
  <c r="K59" i="1"/>
  <c r="K51" i="1"/>
  <c r="K58" i="1"/>
  <c r="L60" i="1"/>
  <c r="I60" i="1" s="1"/>
  <c r="K55" i="1"/>
  <c r="K43" i="1"/>
  <c r="K57" i="1"/>
  <c r="K48" i="1"/>
  <c r="J52" i="1"/>
  <c r="K39" i="1"/>
  <c r="L44" i="1"/>
  <c r="I44" i="1" s="1"/>
  <c r="K40" i="1"/>
  <c r="J44" i="1"/>
  <c r="J68" i="1"/>
  <c r="M5" i="1" s="1"/>
  <c r="K50" i="1"/>
  <c r="K49" i="1"/>
  <c r="L27" i="1"/>
  <c r="Q25" i="2"/>
  <c r="K27" i="1" l="1"/>
  <c r="I27" i="1"/>
  <c r="L68" i="1"/>
  <c r="K47" i="1"/>
  <c r="J12" i="4"/>
  <c r="O12" i="4" s="1"/>
  <c r="K72" i="1"/>
  <c r="L77" i="1"/>
  <c r="I77" i="1" s="1"/>
  <c r="K52" i="1"/>
  <c r="K60" i="1"/>
  <c r="K44" i="1"/>
  <c r="C77" i="1"/>
  <c r="G68" i="1"/>
  <c r="G44" i="1"/>
  <c r="E60" i="1"/>
  <c r="E52" i="1"/>
  <c r="G34" i="1"/>
  <c r="G32" i="1"/>
  <c r="K68" i="1" l="1"/>
  <c r="I68" i="1"/>
  <c r="K77" i="1"/>
  <c r="R25" i="2"/>
  <c r="S25" i="2" s="1"/>
  <c r="E68" i="1"/>
  <c r="G60" i="1"/>
  <c r="G77" i="1"/>
  <c r="H77" i="1" s="1"/>
  <c r="G52" i="1"/>
  <c r="D77" i="1"/>
  <c r="E77" i="1"/>
  <c r="F77" i="1" s="1"/>
  <c r="Q20" i="2" l="1"/>
  <c r="Q21" i="2"/>
  <c r="Q22" i="2"/>
  <c r="Q23" i="2"/>
  <c r="H68" i="1"/>
  <c r="F68" i="1"/>
  <c r="H60" i="1"/>
  <c r="F60" i="1"/>
  <c r="H52" i="1"/>
  <c r="F52" i="1"/>
  <c r="H44" i="1"/>
  <c r="F44" i="1"/>
  <c r="J35" i="1"/>
  <c r="I35" i="1"/>
  <c r="L35" i="1" s="1"/>
  <c r="J32" i="1"/>
  <c r="J34" i="1"/>
  <c r="G36" i="1"/>
  <c r="H36" i="1" s="1"/>
  <c r="M11" i="4"/>
  <c r="K11" i="4"/>
  <c r="M10" i="4"/>
  <c r="K10" i="4"/>
  <c r="C60" i="1"/>
  <c r="M9" i="4"/>
  <c r="K9" i="4"/>
  <c r="M8" i="4"/>
  <c r="I34" i="1"/>
  <c r="I33" i="1"/>
  <c r="L33" i="1" s="1"/>
  <c r="K7" i="4"/>
  <c r="K8" i="4"/>
  <c r="C44" i="1"/>
  <c r="D44" i="1" s="1"/>
  <c r="C36" i="1"/>
  <c r="D36" i="1" s="1"/>
  <c r="K35" i="1" l="1"/>
  <c r="J11" i="4"/>
  <c r="J33" i="1"/>
  <c r="K33" i="1" s="1"/>
  <c r="C68" i="1"/>
  <c r="D68" i="1" s="1"/>
  <c r="J31" i="1"/>
  <c r="K31" i="1" s="1"/>
  <c r="C52" i="1"/>
  <c r="D52" i="1" s="1"/>
  <c r="L11" i="4"/>
  <c r="L9" i="4"/>
  <c r="N10" i="4"/>
  <c r="N11" i="4"/>
  <c r="L10" i="4"/>
  <c r="L8" i="4"/>
  <c r="E36" i="1"/>
  <c r="F36" i="1" s="1"/>
  <c r="N9" i="4"/>
  <c r="O11" i="4" l="1"/>
  <c r="M7" i="4"/>
  <c r="J36" i="1"/>
  <c r="B2" i="4" s="1"/>
  <c r="L7" i="4"/>
  <c r="N8" i="4"/>
  <c r="J8" i="4"/>
  <c r="N7" i="4"/>
  <c r="J7" i="4"/>
  <c r="R23" i="2" l="1"/>
  <c r="S23" i="2" s="1"/>
  <c r="O8" i="4"/>
  <c r="O7" i="4"/>
  <c r="J10" i="4"/>
  <c r="O10" i="4" s="1"/>
  <c r="J9" i="4"/>
  <c r="O9" i="4" s="1"/>
  <c r="L36" i="1"/>
  <c r="I36" i="1" s="1"/>
  <c r="K36" i="1" l="1"/>
  <c r="R22" i="2"/>
  <c r="S22" i="2" s="1"/>
  <c r="R21" i="2"/>
  <c r="S21" i="2" s="1"/>
  <c r="R19" i="2"/>
  <c r="S19" i="2" s="1"/>
  <c r="R20" i="2"/>
  <c r="S20" i="2" s="1"/>
  <c r="B30" i="4"/>
</calcChain>
</file>

<file path=xl/comments1.xml><?xml version="1.0" encoding="utf-8"?>
<comments xmlns="http://schemas.openxmlformats.org/spreadsheetml/2006/main">
  <authors>
    <author>Author</author>
  </authors>
  <commentList>
    <comment ref="G19" authorId="0">
      <text>
        <r>
          <rPr>
            <b/>
            <sz val="9"/>
            <color indexed="81"/>
            <rFont val="Tahoma"/>
            <family val="2"/>
          </rPr>
          <t>Bruce:</t>
        </r>
        <r>
          <rPr>
            <sz val="9"/>
            <color indexed="81"/>
            <rFont val="Tahoma"/>
            <family val="2"/>
          </rPr>
          <t xml:space="preserve">
No custodial services required on ground floor in FY2018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Bruce:</t>
        </r>
        <r>
          <rPr>
            <sz val="9"/>
            <color indexed="81"/>
            <rFont val="Tahoma"/>
            <family val="2"/>
          </rPr>
          <t xml:space="preserve">
Ramping up custodial services required to FY2022 level</t>
        </r>
      </text>
    </comment>
    <comment ref="G21" authorId="0">
      <text>
        <r>
          <rPr>
            <b/>
            <sz val="9"/>
            <color indexed="81"/>
            <rFont val="Tahoma"/>
            <family val="2"/>
          </rPr>
          <t>Bruce:</t>
        </r>
        <r>
          <rPr>
            <sz val="9"/>
            <color indexed="81"/>
            <rFont val="Tahoma"/>
            <family val="2"/>
          </rPr>
          <t xml:space="preserve">
Ramping up custodial services required to FY2022 level</t>
        </r>
      </text>
    </comment>
    <comment ref="G22" authorId="0">
      <text>
        <r>
          <rPr>
            <b/>
            <sz val="9"/>
            <color indexed="81"/>
            <rFont val="Tahoma"/>
            <family val="2"/>
          </rPr>
          <t>Bruce:</t>
        </r>
        <r>
          <rPr>
            <sz val="9"/>
            <color indexed="81"/>
            <rFont val="Tahoma"/>
            <family val="2"/>
          </rPr>
          <t xml:space="preserve">
Ramping up custodial services required to FY2022 level</t>
        </r>
      </text>
    </comment>
  </commentList>
</comments>
</file>

<file path=xl/sharedStrings.xml><?xml version="1.0" encoding="utf-8"?>
<sst xmlns="http://schemas.openxmlformats.org/spreadsheetml/2006/main" count="203" uniqueCount="96">
  <si>
    <t>Revenue</t>
  </si>
  <si>
    <t xml:space="preserve">Assumptions </t>
  </si>
  <si>
    <t xml:space="preserve">1) </t>
  </si>
  <si>
    <t>Space Rental</t>
  </si>
  <si>
    <t>Area</t>
  </si>
  <si>
    <t>FY2018</t>
  </si>
  <si>
    <t>[ft²]</t>
  </si>
  <si>
    <t>Occupancy</t>
  </si>
  <si>
    <t>[percent]</t>
  </si>
  <si>
    <t>Rental Rate</t>
  </si>
  <si>
    <t>Annual</t>
  </si>
  <si>
    <t xml:space="preserve">Retail space </t>
  </si>
  <si>
    <t xml:space="preserve">Totals </t>
  </si>
  <si>
    <t>FY2019</t>
  </si>
  <si>
    <t>FY2020</t>
  </si>
  <si>
    <t>FY2021</t>
  </si>
  <si>
    <t>FY2022</t>
  </si>
  <si>
    <t>Effective</t>
  </si>
  <si>
    <t>Rate</t>
  </si>
  <si>
    <t xml:space="preserve">Community use </t>
  </si>
  <si>
    <t>Electricity</t>
  </si>
  <si>
    <t>Heating</t>
  </si>
  <si>
    <t>Telephone</t>
  </si>
  <si>
    <t>Water</t>
  </si>
  <si>
    <t>Snow</t>
  </si>
  <si>
    <t>Removal</t>
  </si>
  <si>
    <t>Sweeping,</t>
  </si>
  <si>
    <t>Mowing,</t>
  </si>
  <si>
    <t>Custodial</t>
  </si>
  <si>
    <t>Services</t>
  </si>
  <si>
    <t>Insurance</t>
  </si>
  <si>
    <t>Management</t>
  </si>
  <si>
    <t>Marketing</t>
  </si>
  <si>
    <t>Accounting</t>
  </si>
  <si>
    <t>Note: Dollar amounts in 2016 dollars</t>
  </si>
  <si>
    <t>Tenant</t>
  </si>
  <si>
    <t>Total</t>
  </si>
  <si>
    <t>Assumptions</t>
  </si>
  <si>
    <t>Expense</t>
  </si>
  <si>
    <t>or (Loss)</t>
  </si>
  <si>
    <t>Profit</t>
  </si>
  <si>
    <t>Clean Up</t>
  </si>
  <si>
    <t>Annual Estimated Expenses in 2016 Dollars</t>
  </si>
  <si>
    <t>[$/ft²]</t>
  </si>
  <si>
    <t>Second Floor</t>
  </si>
  <si>
    <t>First Floor</t>
  </si>
  <si>
    <t>Ground Floor</t>
  </si>
  <si>
    <t>and</t>
  </si>
  <si>
    <t>Internet</t>
  </si>
  <si>
    <t>Sewer</t>
  </si>
  <si>
    <t>Change</t>
  </si>
  <si>
    <t>Costs</t>
  </si>
  <si>
    <t>FY2023 to FY2038</t>
  </si>
  <si>
    <t>FY23-FY38</t>
  </si>
  <si>
    <t xml:space="preserve">Retail rental rate [$/ft²/year] </t>
  </si>
  <si>
    <t xml:space="preserve">Community use rental rate [$/ft²/year] </t>
  </si>
  <si>
    <t xml:space="preserve">2) </t>
  </si>
  <si>
    <t xml:space="preserve">3) </t>
  </si>
  <si>
    <t>Year</t>
  </si>
  <si>
    <t>Office Space</t>
  </si>
  <si>
    <t>Retail Space</t>
  </si>
  <si>
    <t>Restraurant</t>
  </si>
  <si>
    <t>Community</t>
  </si>
  <si>
    <t>Use Revenue</t>
  </si>
  <si>
    <t>Supplies</t>
  </si>
  <si>
    <t>FY2017</t>
  </si>
  <si>
    <t>FY2016</t>
  </si>
  <si>
    <t>Target</t>
  </si>
  <si>
    <t>Fire</t>
  </si>
  <si>
    <t>Inspection</t>
  </si>
  <si>
    <t>Incidentals</t>
  </si>
  <si>
    <t>Trash</t>
  </si>
  <si>
    <t xml:space="preserve">Restaurant rental rate [$/ft²/year] </t>
  </si>
  <si>
    <t xml:space="preserve">Restaurant space </t>
  </si>
  <si>
    <t xml:space="preserve">Rentable floor space [ft²] </t>
  </si>
  <si>
    <t xml:space="preserve"> including utilities</t>
  </si>
  <si>
    <t xml:space="preserve">Incremental rental rate with utilities included [$/ft²/year] </t>
  </si>
  <si>
    <t>Rented Area</t>
  </si>
  <si>
    <t xml:space="preserve">4) </t>
  </si>
  <si>
    <t>Revenue Projections</t>
  </si>
  <si>
    <t>Expense Projections</t>
  </si>
  <si>
    <t>Water and</t>
  </si>
  <si>
    <t>and Internet</t>
  </si>
  <si>
    <t xml:space="preserve"> including utilities based on FY2017 budget request</t>
  </si>
  <si>
    <t xml:space="preserve">FY2017 annual utilities cost </t>
  </si>
  <si>
    <t xml:space="preserve">FY2018 - FY2038 annual utilities cost (FY2017 + 20%) </t>
  </si>
  <si>
    <t xml:space="preserve">Rental rate for current tenant [$/ft²/year] </t>
  </si>
  <si>
    <t xml:space="preserve">Office space rental rate for new tenants [$/ft²/year] </t>
  </si>
  <si>
    <t>Rental rates shown here include utilities.  Utilities add $1.75/ft²/yr to the rental rate.  Renters choosing to pay their own utilities will have their rental rates reduced by  $1.75/ft²/yr</t>
  </si>
  <si>
    <t>If FY2017 the current tenant will pay $60,103 including utilities (their current FY2017 bugdet request)</t>
  </si>
  <si>
    <t>Beyond FY2017 the current tenant will continue to pay $60,103 including utilities (their current FY2017 bugdet request)</t>
  </si>
  <si>
    <t xml:space="preserve">Office space for current tenant </t>
  </si>
  <si>
    <t xml:space="preserve">Office space for new tenants </t>
  </si>
  <si>
    <t>In FY2016 the current tenant is paying $41,559 per year including $8,300 per year for electricity and $12,000 per year for heat</t>
  </si>
  <si>
    <t>Current</t>
  </si>
  <si>
    <t>New Tenant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</si>
</sst>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8" formatCode="&quot;$&quot;#,##0.00_);[Red]\(&quot;$&quot;#,##0.00\)"/>
    <numFmt numFmtId="164" formatCode="0.0"/>
    <numFmt numFmtId="165" formatCode="&quot;$&quot;#,##0.000_);[Red]\(&quot;$&quot;#,##0.000\)"/>
    <numFmt numFmtId="166" formatCode="0.000"/>
    <numFmt numFmtId="167" formatCode="#,##0.000"/>
  </numFmts>
  <fonts count="5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8" borderId="1" applyNumberFormat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8" fontId="0" fillId="0" borderId="0" xfId="0" applyNumberForma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6" fontId="0" fillId="0" borderId="0" xfId="0" applyNumberFormat="1"/>
    <xf numFmtId="3" fontId="0" fillId="0" borderId="0" xfId="0" applyNumberFormat="1" applyAlignment="1">
      <alignment horizontal="center"/>
    </xf>
    <xf numFmtId="6" fontId="0" fillId="0" borderId="2" xfId="0" applyNumberFormat="1" applyBorder="1"/>
    <xf numFmtId="3" fontId="0" fillId="0" borderId="2" xfId="0" applyNumberFormat="1" applyBorder="1" applyAlignment="1">
      <alignment horizontal="center"/>
    </xf>
    <xf numFmtId="0" fontId="1" fillId="2" borderId="1" xfId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4" borderId="0" xfId="0" applyFill="1"/>
    <xf numFmtId="0" fontId="0" fillId="4" borderId="0" xfId="0" applyFill="1" applyAlignment="1">
      <alignment horizontal="right"/>
    </xf>
    <xf numFmtId="0" fontId="0" fillId="5" borderId="0" xfId="0" applyFill="1"/>
    <xf numFmtId="0" fontId="0" fillId="5" borderId="0" xfId="0" applyFill="1" applyAlignment="1">
      <alignment horizontal="righ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7" borderId="0" xfId="0" applyFill="1"/>
    <xf numFmtId="0" fontId="0" fillId="7" borderId="0" xfId="0" applyFill="1" applyAlignment="1">
      <alignment horizontal="right"/>
    </xf>
    <xf numFmtId="0" fontId="0" fillId="0" borderId="3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6" fontId="0" fillId="0" borderId="0" xfId="0" applyNumberFormat="1" applyAlignment="1">
      <alignment horizontal="center"/>
    </xf>
    <xf numFmtId="166" fontId="1" fillId="2" borderId="1" xfId="1" applyNumberFormat="1" applyAlignment="1">
      <alignment horizontal="center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right"/>
    </xf>
    <xf numFmtId="165" fontId="0" fillId="0" borderId="0" xfId="0" applyNumberFormat="1"/>
    <xf numFmtId="167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/>
    <xf numFmtId="165" fontId="0" fillId="0" borderId="0" xfId="0" applyNumberFormat="1" applyBorder="1"/>
    <xf numFmtId="6" fontId="0" fillId="0" borderId="0" xfId="0" applyNumberFormat="1" applyBorder="1"/>
    <xf numFmtId="167" fontId="0" fillId="0" borderId="2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2" fillId="8" borderId="1" xfId="2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Graphs!$B$2</c:f>
          <c:strCache>
            <c:ptCount val="1"/>
            <c:pt idx="0">
              <c:v>Revenue Space Breakout - Total 18,717 ft²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Community Use</c:v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Lbls>
            <c:dLbl>
              <c:idx val="0"/>
              <c:layout>
                <c:manualLayout>
                  <c:x val="4.6977859824938149E-3"/>
                  <c:y val="-3.61864162556449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22435712282376E-2"/>
                  <c:y val="-2.79075097034540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1278177548380612E-2"/>
                  <c:y val="-1.01211784881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194016417804231E-2"/>
                  <c:y val="1.41050208175112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289333450543562E-2"/>
                  <c:y val="3.02079245177778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'Revenue Forecast'!$B$31:$B$35</c:f>
              <c:strCache>
                <c:ptCount val="5"/>
                <c:pt idx="0">
                  <c:v>Office space for current tenant </c:v>
                </c:pt>
                <c:pt idx="1">
                  <c:v>Office space for new tenants </c:v>
                </c:pt>
                <c:pt idx="2">
                  <c:v>Retail space </c:v>
                </c:pt>
                <c:pt idx="3">
                  <c:v>Restaurant space </c:v>
                </c:pt>
                <c:pt idx="4">
                  <c:v>Community use </c:v>
                </c:pt>
              </c:strCache>
            </c:strRef>
          </c:cat>
          <c:val>
            <c:numRef>
              <c:f>'Revenue Forecast'!$J$31:$J$35</c:f>
              <c:numCache>
                <c:formatCode>#,##0</c:formatCode>
                <c:ptCount val="5"/>
                <c:pt idx="0">
                  <c:v>7326</c:v>
                </c:pt>
                <c:pt idx="1">
                  <c:v>2707</c:v>
                </c:pt>
                <c:pt idx="2">
                  <c:v>2547</c:v>
                </c:pt>
                <c:pt idx="3">
                  <c:v>2304</c:v>
                </c:pt>
                <c:pt idx="4">
                  <c:v>3833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Graphs!$B$30</c:f>
          <c:strCache>
            <c:ptCount val="1"/>
            <c:pt idx="0">
              <c:v>FY2020 Revenue Breakout - Total $86,629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dPt>
          <c:dLbls>
            <c:dLbl>
              <c:idx val="0"/>
              <c:layout>
                <c:manualLayout>
                  <c:x val="0"/>
                  <c:y val="-0.153540191599121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7630247753764217E-2"/>
                  <c:y val="-1.04292882773085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846509695173401E-3"/>
                  <c:y val="3.48226203117403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194016417804231E-2"/>
                  <c:y val="1.41050208175112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059349810675886E-2"/>
                  <c:y val="2.453626363428741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'Revenue Forecast'!$B$47:$B$51</c:f>
              <c:strCache>
                <c:ptCount val="5"/>
                <c:pt idx="0">
                  <c:v>Office space for current tenant </c:v>
                </c:pt>
                <c:pt idx="1">
                  <c:v>Office space for new tenants </c:v>
                </c:pt>
                <c:pt idx="2">
                  <c:v>Retail space </c:v>
                </c:pt>
                <c:pt idx="3">
                  <c:v>Restaurant space </c:v>
                </c:pt>
                <c:pt idx="4">
                  <c:v>Community use </c:v>
                </c:pt>
              </c:strCache>
            </c:strRef>
          </c:cat>
          <c:val>
            <c:numRef>
              <c:f>'Revenue Forecast'!$L$47:$L$51</c:f>
              <c:numCache>
                <c:formatCode>"$"#,##0_);[Red]\("$"#,##0\)</c:formatCode>
                <c:ptCount val="5"/>
                <c:pt idx="0">
                  <c:v>60103</c:v>
                </c:pt>
                <c:pt idx="1">
                  <c:v>0</c:v>
                </c:pt>
                <c:pt idx="2">
                  <c:v>20057.625</c:v>
                </c:pt>
                <c:pt idx="3">
                  <c:v>0</c:v>
                </c:pt>
                <c:pt idx="4">
                  <c:v>6468.1875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Prescott</a:t>
            </a:r>
            <a:r>
              <a:rPr lang="en-US" baseline="0"/>
              <a:t> School Projected Operating Revenue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Total Revenue</c:v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Graphs!$O$7:$O$12</c:f>
              <c:numCache>
                <c:formatCode>"$"#,##0_);[Red]\("$"#,##0\)</c:formatCode>
                <c:ptCount val="6"/>
                <c:pt idx="0">
                  <c:v>70582.712499999994</c:v>
                </c:pt>
                <c:pt idx="1">
                  <c:v>76600</c:v>
                </c:pt>
                <c:pt idx="2">
                  <c:v>86628.8125</c:v>
                </c:pt>
                <c:pt idx="3">
                  <c:v>96657.625</c:v>
                </c:pt>
                <c:pt idx="4">
                  <c:v>146727.27499999999</c:v>
                </c:pt>
                <c:pt idx="5">
                  <c:v>171665.51249999998</c:v>
                </c:pt>
              </c:numCache>
            </c:numRef>
          </c:val>
          <c:smooth val="0"/>
        </c:ser>
        <c:ser>
          <c:idx val="0"/>
          <c:order val="1"/>
          <c:tx>
            <c:v>Current Tenant</c:v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Graphs!$J$7:$J$12</c:f>
              <c:numCache>
                <c:formatCode>"$"#,##0_);[Red]\("$"#,##0\)</c:formatCode>
                <c:ptCount val="6"/>
                <c:pt idx="0">
                  <c:v>60103</c:v>
                </c:pt>
                <c:pt idx="1">
                  <c:v>60103</c:v>
                </c:pt>
                <c:pt idx="2">
                  <c:v>60103</c:v>
                </c:pt>
                <c:pt idx="3">
                  <c:v>60103</c:v>
                </c:pt>
                <c:pt idx="4">
                  <c:v>60103</c:v>
                </c:pt>
                <c:pt idx="5">
                  <c:v>60103</c:v>
                </c:pt>
              </c:numCache>
            </c:numRef>
          </c:val>
          <c:smooth val="0"/>
        </c:ser>
        <c:ser>
          <c:idx val="1"/>
          <c:order val="2"/>
          <c:tx>
            <c:v>New Tenant Office</c:v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Graphs!$K$7:$K$12</c:f>
              <c:numCache>
                <c:formatCode>"$"#,##0_);[Red]\("$"#,##0\)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11335.5625</c:v>
                </c:pt>
                <c:pt idx="5">
                  <c:v>36273.799999999996</c:v>
                </c:pt>
              </c:numCache>
            </c:numRef>
          </c:val>
          <c:smooth val="0"/>
        </c:ser>
        <c:ser>
          <c:idx val="2"/>
          <c:order val="3"/>
          <c:tx>
            <c:v>Retail Space</c:v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Graphs!$L$7:$L$12</c:f>
              <c:numCache>
                <c:formatCode>"$"#,##0_);[Red]\("$"#,##0\)</c:formatCode>
                <c:ptCount val="6"/>
                <c:pt idx="0">
                  <c:v>4011.5249999999996</c:v>
                </c:pt>
                <c:pt idx="1">
                  <c:v>10028.8125</c:v>
                </c:pt>
                <c:pt idx="2">
                  <c:v>20057.625</c:v>
                </c:pt>
                <c:pt idx="3">
                  <c:v>30086.4375</c:v>
                </c:pt>
                <c:pt idx="4">
                  <c:v>36103.725000000006</c:v>
                </c:pt>
                <c:pt idx="5">
                  <c:v>36103.725000000006</c:v>
                </c:pt>
              </c:numCache>
            </c:numRef>
          </c:val>
          <c:smooth val="0"/>
        </c:ser>
        <c:ser>
          <c:idx val="3"/>
          <c:order val="4"/>
          <c:tx>
            <c:v>Restraunt Space</c:v>
          </c:tx>
          <c:spPr>
            <a:ln>
              <a:solidFill>
                <a:srgbClr val="FFFF99"/>
              </a:solidFill>
            </a:ln>
          </c:spPr>
          <c:marker>
            <c:symbol val="squar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Graphs!$M$7:$M$12</c:f>
              <c:numCache>
                <c:formatCode>"$"#,##0_);[Red]\("$"#,##0\)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32716.799999999999</c:v>
                </c:pt>
                <c:pt idx="5">
                  <c:v>32716.799999999999</c:v>
                </c:pt>
              </c:numCache>
            </c:numRef>
          </c:val>
          <c:smooth val="0"/>
        </c:ser>
        <c:ser>
          <c:idx val="4"/>
          <c:order val="5"/>
          <c:tx>
            <c:v>Community Use Space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Graphs!$I$7:$I$12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Graphs!$N$7:$N$12</c:f>
              <c:numCache>
                <c:formatCode>"$"#,##0_);[Red]\("$"#,##0\)</c:formatCode>
                <c:ptCount val="6"/>
                <c:pt idx="0">
                  <c:v>6468.1875</c:v>
                </c:pt>
                <c:pt idx="1">
                  <c:v>6468.1875</c:v>
                </c:pt>
                <c:pt idx="2">
                  <c:v>6468.1875</c:v>
                </c:pt>
                <c:pt idx="3">
                  <c:v>6468.1875</c:v>
                </c:pt>
                <c:pt idx="4">
                  <c:v>6468.1875</c:v>
                </c:pt>
                <c:pt idx="5">
                  <c:v>6468.1875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407424"/>
        <c:axId val="212409344"/>
      </c:lineChart>
      <c:catAx>
        <c:axId val="21240742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crossAx val="212409344"/>
        <c:crosses val="autoZero"/>
        <c:auto val="1"/>
        <c:lblAlgn val="ctr"/>
        <c:lblOffset val="100"/>
        <c:noMultiLvlLbl val="0"/>
      </c:catAx>
      <c:valAx>
        <c:axId val="21240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Prescott School Building Revenue  [2016 Dollars]</a:t>
                </a:r>
              </a:p>
            </c:rich>
          </c:tx>
          <c:layout/>
          <c:overlay val="0"/>
        </c:title>
        <c:numFmt formatCode="&quot;$&quot;#,##0_);[Red]\(&quot;$&quot;#,##0\)" sourceLinked="1"/>
        <c:majorTickMark val="none"/>
        <c:minorTickMark val="none"/>
        <c:tickLblPos val="nextTo"/>
        <c:crossAx val="2124074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2407832540907127"/>
          <c:y val="0.10118156017264573"/>
          <c:w val="0.17704267573965385"/>
          <c:h val="0.17846990903245896"/>
        </c:manualLayout>
      </c:layout>
      <c:overlay val="1"/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Prescott School Operatin</a:t>
            </a:r>
            <a:r>
              <a:rPr lang="en-US" baseline="0"/>
              <a:t>g Expenses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Electricity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Graphs!$J$20:$J$25</c:f>
              <c:numCache>
                <c:formatCode>"$"#,##0_);[Red]\("$"#,##0\)</c:formatCode>
                <c:ptCount val="6"/>
                <c:pt idx="0">
                  <c:v>9103</c:v>
                </c:pt>
                <c:pt idx="1">
                  <c:v>9103</c:v>
                </c:pt>
                <c:pt idx="2">
                  <c:v>9103</c:v>
                </c:pt>
                <c:pt idx="3">
                  <c:v>9103</c:v>
                </c:pt>
                <c:pt idx="4">
                  <c:v>9103</c:v>
                </c:pt>
                <c:pt idx="5">
                  <c:v>9103</c:v>
                </c:pt>
              </c:numCache>
            </c:numRef>
          </c:val>
          <c:smooth val="0"/>
        </c:ser>
        <c:ser>
          <c:idx val="1"/>
          <c:order val="1"/>
          <c:tx>
            <c:v>Heat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Graphs!$K$20:$K$25</c:f>
              <c:numCache>
                <c:formatCode>"$"#,##0_);[Red]\("$"#,##0\)</c:formatCode>
                <c:ptCount val="6"/>
                <c:pt idx="0">
                  <c:v>13243</c:v>
                </c:pt>
                <c:pt idx="1">
                  <c:v>13243</c:v>
                </c:pt>
                <c:pt idx="2">
                  <c:v>13243</c:v>
                </c:pt>
                <c:pt idx="3">
                  <c:v>13243</c:v>
                </c:pt>
                <c:pt idx="4">
                  <c:v>13243</c:v>
                </c:pt>
                <c:pt idx="5">
                  <c:v>13243</c:v>
                </c:pt>
              </c:numCache>
            </c:numRef>
          </c:val>
          <c:smooth val="0"/>
        </c:ser>
        <c:ser>
          <c:idx val="2"/>
          <c:order val="2"/>
          <c:tx>
            <c:v>Water and Sewer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Graphs!$L$20:$L$25</c:f>
              <c:numCache>
                <c:formatCode>"$"#,##0_);[Red]\("$"#,##0\)</c:formatCode>
                <c:ptCount val="6"/>
                <c:pt idx="0">
                  <c:v>1432</c:v>
                </c:pt>
                <c:pt idx="1">
                  <c:v>1432</c:v>
                </c:pt>
                <c:pt idx="2">
                  <c:v>1432</c:v>
                </c:pt>
                <c:pt idx="3">
                  <c:v>1432</c:v>
                </c:pt>
                <c:pt idx="4">
                  <c:v>1432</c:v>
                </c:pt>
                <c:pt idx="5">
                  <c:v>1432</c:v>
                </c:pt>
              </c:numCache>
            </c:numRef>
          </c:val>
          <c:smooth val="0"/>
        </c:ser>
        <c:ser>
          <c:idx val="3"/>
          <c:order val="3"/>
          <c:tx>
            <c:v>Telephone and Internet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Graphs!$M$20:$M$25</c:f>
              <c:numCache>
                <c:formatCode>"$"#,##0_);[Red]\("$"#,##0\)</c:formatCode>
                <c:ptCount val="6"/>
                <c:pt idx="0">
                  <c:v>3905</c:v>
                </c:pt>
                <c:pt idx="1">
                  <c:v>3905</c:v>
                </c:pt>
                <c:pt idx="2">
                  <c:v>3905</c:v>
                </c:pt>
                <c:pt idx="3">
                  <c:v>3905</c:v>
                </c:pt>
                <c:pt idx="4">
                  <c:v>3905</c:v>
                </c:pt>
                <c:pt idx="5">
                  <c:v>3905</c:v>
                </c:pt>
              </c:numCache>
            </c:numRef>
          </c:val>
          <c:smooth val="0"/>
        </c:ser>
        <c:ser>
          <c:idx val="4"/>
          <c:order val="4"/>
          <c:tx>
            <c:v>Plowing, Sweeping, Mowing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Graphs!$N$20:$N$25</c:f>
              <c:numCache>
                <c:formatCode>"$"#,##0_);[Red]\("$"#,##0\)</c:formatCode>
                <c:ptCount val="6"/>
                <c:pt idx="0">
                  <c:v>3700</c:v>
                </c:pt>
                <c:pt idx="1">
                  <c:v>3700</c:v>
                </c:pt>
                <c:pt idx="2">
                  <c:v>3700</c:v>
                </c:pt>
                <c:pt idx="3">
                  <c:v>3700</c:v>
                </c:pt>
                <c:pt idx="4">
                  <c:v>3700</c:v>
                </c:pt>
                <c:pt idx="5">
                  <c:v>3700</c:v>
                </c:pt>
              </c:numCache>
            </c:numRef>
          </c:val>
          <c:smooth val="0"/>
        </c:ser>
        <c:ser>
          <c:idx val="5"/>
          <c:order val="5"/>
          <c:tx>
            <c:v>Custodial Services</c:v>
          </c:tx>
          <c:spPr>
            <a:ln>
              <a:prstDash val="dash"/>
            </a:ln>
          </c:spPr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Graphs!$O$20:$O$25</c:f>
              <c:numCache>
                <c:formatCode>"$"#,##0_);[Red]\("$"#,##0\)</c:formatCode>
                <c:ptCount val="6"/>
                <c:pt idx="0">
                  <c:v>24837</c:v>
                </c:pt>
                <c:pt idx="1">
                  <c:v>29797</c:v>
                </c:pt>
                <c:pt idx="2">
                  <c:v>34757</c:v>
                </c:pt>
                <c:pt idx="3">
                  <c:v>39717</c:v>
                </c:pt>
                <c:pt idx="4">
                  <c:v>44677</c:v>
                </c:pt>
                <c:pt idx="5">
                  <c:v>44677</c:v>
                </c:pt>
              </c:numCache>
            </c:numRef>
          </c:val>
          <c:smooth val="0"/>
        </c:ser>
        <c:ser>
          <c:idx val="6"/>
          <c:order val="6"/>
          <c:tx>
            <c:v>Supplies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Graphs!$P$20:$P$25</c:f>
              <c:numCache>
                <c:formatCode>"$"#,##0_);[Red]\("$"#,##0\)</c:formatCode>
                <c:ptCount val="6"/>
                <c:pt idx="0">
                  <c:v>264</c:v>
                </c:pt>
                <c:pt idx="1">
                  <c:v>264</c:v>
                </c:pt>
                <c:pt idx="2">
                  <c:v>264</c:v>
                </c:pt>
                <c:pt idx="3">
                  <c:v>264</c:v>
                </c:pt>
                <c:pt idx="4">
                  <c:v>264</c:v>
                </c:pt>
                <c:pt idx="5">
                  <c:v>264</c:v>
                </c:pt>
              </c:numCache>
            </c:numRef>
          </c:val>
          <c:smooth val="0"/>
        </c:ser>
        <c:ser>
          <c:idx val="7"/>
          <c:order val="7"/>
          <c:tx>
            <c:v>Insurance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Graphs!$Q$20:$Q$25</c:f>
              <c:numCache>
                <c:formatCode>"$"#,##0_);[Red]\("$"#,##0\)</c:formatCode>
                <c:ptCount val="6"/>
                <c:pt idx="0">
                  <c:v>5934</c:v>
                </c:pt>
                <c:pt idx="1">
                  <c:v>5934</c:v>
                </c:pt>
                <c:pt idx="2">
                  <c:v>5934</c:v>
                </c:pt>
                <c:pt idx="3">
                  <c:v>5934</c:v>
                </c:pt>
                <c:pt idx="4">
                  <c:v>5934</c:v>
                </c:pt>
                <c:pt idx="5">
                  <c:v>5934</c:v>
                </c:pt>
              </c:numCache>
            </c:numRef>
          </c:val>
          <c:smooth val="0"/>
        </c:ser>
        <c:ser>
          <c:idx val="8"/>
          <c:order val="8"/>
          <c:tx>
            <c:v>Fire Inspection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Graphs!$R$20:$R$25</c:f>
              <c:numCache>
                <c:formatCode>"$"#,##0_);[Red]\("$"#,##0\)</c:formatCode>
                <c:ptCount val="6"/>
                <c:pt idx="0">
                  <c:v>1209</c:v>
                </c:pt>
                <c:pt idx="1">
                  <c:v>1209</c:v>
                </c:pt>
                <c:pt idx="2">
                  <c:v>1209</c:v>
                </c:pt>
                <c:pt idx="3">
                  <c:v>1209</c:v>
                </c:pt>
                <c:pt idx="4">
                  <c:v>1209</c:v>
                </c:pt>
                <c:pt idx="5">
                  <c:v>1209</c:v>
                </c:pt>
              </c:numCache>
            </c:numRef>
          </c:val>
          <c:smooth val="0"/>
        </c:ser>
        <c:ser>
          <c:idx val="9"/>
          <c:order val="9"/>
          <c:tx>
            <c:v>Incidentals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Graphs!$S$20:$S$25</c:f>
              <c:numCache>
                <c:formatCode>"$"#,##0_);[Red]\("$"#,##0\)</c:formatCode>
                <c:ptCount val="6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</c:numCache>
            </c:numRef>
          </c:val>
          <c:smooth val="0"/>
        </c:ser>
        <c:ser>
          <c:idx val="10"/>
          <c:order val="10"/>
          <c:tx>
            <c:v>Trash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Graphs!$T$20:$T$25</c:f>
              <c:numCache>
                <c:formatCode>"$"#,##0_);[Red]\("$"#,##0\)</c:formatCode>
                <c:ptCount val="6"/>
                <c:pt idx="0">
                  <c:v>936</c:v>
                </c:pt>
                <c:pt idx="1">
                  <c:v>936</c:v>
                </c:pt>
                <c:pt idx="2">
                  <c:v>936</c:v>
                </c:pt>
                <c:pt idx="3">
                  <c:v>936</c:v>
                </c:pt>
                <c:pt idx="4">
                  <c:v>936</c:v>
                </c:pt>
                <c:pt idx="5">
                  <c:v>936</c:v>
                </c:pt>
              </c:numCache>
            </c:numRef>
          </c:val>
          <c:smooth val="0"/>
        </c:ser>
        <c:ser>
          <c:idx val="11"/>
          <c:order val="11"/>
          <c:tx>
            <c:v>Management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Graphs!$U$20:$U$25</c:f>
              <c:numCache>
                <c:formatCode>"$"#,##0_);[Red]\("$"#,##0\)</c:formatCode>
                <c:ptCount val="6"/>
                <c:pt idx="0">
                  <c:v>10000</c:v>
                </c:pt>
                <c:pt idx="1">
                  <c:v>15000</c:v>
                </c:pt>
                <c:pt idx="2">
                  <c:v>20000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</c:numCache>
            </c:numRef>
          </c:val>
          <c:smooth val="0"/>
        </c:ser>
        <c:ser>
          <c:idx val="12"/>
          <c:order val="12"/>
          <c:tx>
            <c:v>Marketing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Graphs!$V$20:$V$25</c:f>
              <c:numCache>
                <c:formatCode>"$"#,##0_);[Red]\("$"#,##0\)</c:formatCode>
                <c:ptCount val="6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</c:numCache>
            </c:numRef>
          </c:val>
          <c:smooth val="0"/>
        </c:ser>
        <c:ser>
          <c:idx val="13"/>
          <c:order val="13"/>
          <c:tx>
            <c:v>Tenant Change Costs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Graphs!$W$20:$W$25</c:f>
              <c:numCache>
                <c:formatCode>"$"#,##0_);[Red]\("$"#,##0\)</c:formatCode>
                <c:ptCount val="6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</c:numCache>
            </c:numRef>
          </c:val>
          <c:smooth val="0"/>
        </c:ser>
        <c:ser>
          <c:idx val="14"/>
          <c:order val="14"/>
          <c:tx>
            <c:v>Accounting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Graphs!$X$20:$X$25</c:f>
              <c:numCache>
                <c:formatCode>"$"#,##0_);[Red]\("$"#,##0\)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v>Total</c:v>
          </c:tx>
          <c:marker>
            <c:symbol val="none"/>
          </c:marker>
          <c:cat>
            <c:strRef>
              <c:f>Graphs!$I$20:$I$25</c:f>
              <c:strCache>
                <c:ptCount val="6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  <c:pt idx="5">
                  <c:v>FY2023 to FY2038</c:v>
                </c:pt>
              </c:strCache>
            </c:strRef>
          </c:cat>
          <c:val>
            <c:numRef>
              <c:f>Graphs!$Y$20:$Y$25</c:f>
              <c:numCache>
                <c:formatCode>"$"#,##0_);[Red]\("$"#,##0\)</c:formatCode>
                <c:ptCount val="6"/>
                <c:pt idx="0">
                  <c:v>80513</c:v>
                </c:pt>
                <c:pt idx="1">
                  <c:v>90473</c:v>
                </c:pt>
                <c:pt idx="2">
                  <c:v>100433</c:v>
                </c:pt>
                <c:pt idx="3">
                  <c:v>105393</c:v>
                </c:pt>
                <c:pt idx="4">
                  <c:v>110353</c:v>
                </c:pt>
                <c:pt idx="5">
                  <c:v>110353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067264"/>
        <c:axId val="213068800"/>
      </c:lineChart>
      <c:catAx>
        <c:axId val="21306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068800"/>
        <c:crosses val="autoZero"/>
        <c:auto val="1"/>
        <c:lblAlgn val="ctr"/>
        <c:lblOffset val="100"/>
        <c:noMultiLvlLbl val="0"/>
      </c:catAx>
      <c:valAx>
        <c:axId val="213068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</a:t>
                </a:r>
                <a:r>
                  <a:rPr lang="en-US" baseline="0"/>
                  <a:t> Expense</a:t>
                </a:r>
                <a:endParaRPr lang="en-US"/>
              </a:p>
            </c:rich>
          </c:tx>
          <c:layout/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2130672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/>
      <c:overlay val="0"/>
      <c:spPr>
        <a:solidFill>
          <a:schemeClr val="bg1"/>
        </a:solidFill>
        <a:ln>
          <a:solidFill>
            <a:schemeClr val="bg1">
              <a:lumMod val="50000"/>
            </a:schemeClr>
          </a:solidFill>
        </a:ln>
      </c:spPr>
    </c:legend>
    <c:plotVisOnly val="1"/>
    <c:dispBlanksAs val="zero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6</xdr:col>
      <xdr:colOff>809625</xdr:colOff>
      <xdr:row>26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6</xdr:col>
      <xdr:colOff>809625</xdr:colOff>
      <xdr:row>55</xdr:row>
      <xdr:rowOff>133349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77</xdr:row>
      <xdr:rowOff>0</xdr:rowOff>
    </xdr:from>
    <xdr:to>
      <xdr:col>7</xdr:col>
      <xdr:colOff>962025</xdr:colOff>
      <xdr:row>104</xdr:row>
      <xdr:rowOff>133338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7" t="6913" r="43382" b="66856"/>
        <a:stretch/>
      </xdr:blipFill>
      <xdr:spPr>
        <a:xfrm>
          <a:off x="9525" y="14668500"/>
          <a:ext cx="6886575" cy="52768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7</xdr:col>
      <xdr:colOff>962026</xdr:colOff>
      <xdr:row>63</xdr:row>
      <xdr:rowOff>133356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4" t="35227" r="41974" b="35701"/>
        <a:stretch/>
      </xdr:blipFill>
      <xdr:spPr>
        <a:xfrm>
          <a:off x="1" y="6096000"/>
          <a:ext cx="6896100" cy="584835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962025</xdr:colOff>
      <xdr:row>30</xdr:row>
      <xdr:rowOff>95212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79" t="64104" r="42162" b="7963"/>
        <a:stretch/>
      </xdr:blipFill>
      <xdr:spPr>
        <a:xfrm>
          <a:off x="0" y="190500"/>
          <a:ext cx="6896100" cy="56197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609600</xdr:colOff>
      <xdr:row>10</xdr:row>
      <xdr:rowOff>38100</xdr:rowOff>
    </xdr:from>
    <xdr:to>
      <xdr:col>5</xdr:col>
      <xdr:colOff>371475</xdr:colOff>
      <xdr:row>21</xdr:row>
      <xdr:rowOff>180975</xdr:rowOff>
    </xdr:to>
    <xdr:sp macro="" textlink="">
      <xdr:nvSpPr>
        <xdr:cNvPr id="10" name="Rectangle 9"/>
        <xdr:cNvSpPr/>
      </xdr:nvSpPr>
      <xdr:spPr>
        <a:xfrm>
          <a:off x="2305050" y="1943100"/>
          <a:ext cx="2305050" cy="223837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381000</xdr:colOff>
      <xdr:row>11</xdr:row>
      <xdr:rowOff>180975</xdr:rowOff>
    </xdr:from>
    <xdr:to>
      <xdr:col>6</xdr:col>
      <xdr:colOff>533401</xdr:colOff>
      <xdr:row>20</xdr:row>
      <xdr:rowOff>85725</xdr:rowOff>
    </xdr:to>
    <xdr:sp macro="" textlink="">
      <xdr:nvSpPr>
        <xdr:cNvPr id="11" name="Rectangle 10"/>
        <xdr:cNvSpPr/>
      </xdr:nvSpPr>
      <xdr:spPr>
        <a:xfrm>
          <a:off x="4619625" y="2276475"/>
          <a:ext cx="1000126" cy="1619250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352425</xdr:colOff>
      <xdr:row>20</xdr:row>
      <xdr:rowOff>76201</xdr:rowOff>
    </xdr:from>
    <xdr:to>
      <xdr:col>6</xdr:col>
      <xdr:colOff>380999</xdr:colOff>
      <xdr:row>28</xdr:row>
      <xdr:rowOff>47625</xdr:rowOff>
    </xdr:to>
    <xdr:sp macro="" textlink="">
      <xdr:nvSpPr>
        <xdr:cNvPr id="12" name="Rectangle 11"/>
        <xdr:cNvSpPr/>
      </xdr:nvSpPr>
      <xdr:spPr>
        <a:xfrm>
          <a:off x="4591050" y="3886201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361950</xdr:colOff>
      <xdr:row>4</xdr:row>
      <xdr:rowOff>19051</xdr:rowOff>
    </xdr:from>
    <xdr:to>
      <xdr:col>6</xdr:col>
      <xdr:colOff>390524</xdr:colOff>
      <xdr:row>11</xdr:row>
      <xdr:rowOff>180975</xdr:rowOff>
    </xdr:to>
    <xdr:sp macro="" textlink="">
      <xdr:nvSpPr>
        <xdr:cNvPr id="13" name="Rectangle 12"/>
        <xdr:cNvSpPr/>
      </xdr:nvSpPr>
      <xdr:spPr>
        <a:xfrm>
          <a:off x="4600575" y="781051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266700</xdr:colOff>
      <xdr:row>84</xdr:row>
      <xdr:rowOff>95250</xdr:rowOff>
    </xdr:from>
    <xdr:to>
      <xdr:col>5</xdr:col>
      <xdr:colOff>533400</xdr:colOff>
      <xdr:row>88</xdr:row>
      <xdr:rowOff>190499</xdr:rowOff>
    </xdr:to>
    <xdr:sp macro="" textlink="">
      <xdr:nvSpPr>
        <xdr:cNvPr id="15" name="Rectangle 14"/>
        <xdr:cNvSpPr/>
      </xdr:nvSpPr>
      <xdr:spPr>
        <a:xfrm>
          <a:off x="3657600" y="16097250"/>
          <a:ext cx="1114425" cy="857249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1</xdr:row>
      <xdr:rowOff>76200</xdr:rowOff>
    </xdr:from>
    <xdr:to>
      <xdr:col>1</xdr:col>
      <xdr:colOff>9525</xdr:colOff>
      <xdr:row>3</xdr:row>
      <xdr:rowOff>9525</xdr:rowOff>
    </xdr:to>
    <xdr:sp macro="" textlink="">
      <xdr:nvSpPr>
        <xdr:cNvPr id="16" name="Rectangle 15"/>
        <xdr:cNvSpPr/>
      </xdr:nvSpPr>
      <xdr:spPr>
        <a:xfrm>
          <a:off x="561975" y="266700"/>
          <a:ext cx="295275" cy="31432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800100</xdr:colOff>
      <xdr:row>1</xdr:row>
      <xdr:rowOff>76200</xdr:rowOff>
    </xdr:from>
    <xdr:to>
      <xdr:col>3</xdr:col>
      <xdr:colOff>219075</xdr:colOff>
      <xdr:row>3</xdr:row>
      <xdr:rowOff>19050</xdr:rowOff>
    </xdr:to>
    <xdr:sp macro="" textlink="">
      <xdr:nvSpPr>
        <xdr:cNvPr id="17" name="TextBox 16"/>
        <xdr:cNvSpPr txBox="1"/>
      </xdr:nvSpPr>
      <xdr:spPr>
        <a:xfrm>
          <a:off x="800100" y="266700"/>
          <a:ext cx="19621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 (current</a:t>
          </a:r>
          <a:r>
            <a:rPr lang="en-US" sz="1100" baseline="0"/>
            <a:t> tenant</a:t>
          </a:r>
          <a:r>
            <a:rPr lang="en-US" sz="1100"/>
            <a:t>)</a:t>
          </a:r>
        </a:p>
      </xdr:txBody>
    </xdr:sp>
    <xdr:clientData/>
  </xdr:twoCellAnchor>
  <xdr:twoCellAnchor>
    <xdr:from>
      <xdr:col>5</xdr:col>
      <xdr:colOff>352425</xdr:colOff>
      <xdr:row>35</xdr:row>
      <xdr:rowOff>95249</xdr:rowOff>
    </xdr:from>
    <xdr:to>
      <xdr:col>6</xdr:col>
      <xdr:colOff>333375</xdr:colOff>
      <xdr:row>43</xdr:row>
      <xdr:rowOff>85725</xdr:rowOff>
    </xdr:to>
    <xdr:sp macro="" textlink="">
      <xdr:nvSpPr>
        <xdr:cNvPr id="18" name="Rectangle 17"/>
        <xdr:cNvSpPr/>
      </xdr:nvSpPr>
      <xdr:spPr>
        <a:xfrm>
          <a:off x="4591050" y="6762749"/>
          <a:ext cx="828675" cy="1514476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819150</xdr:colOff>
      <xdr:row>5</xdr:row>
      <xdr:rowOff>57150</xdr:rowOff>
    </xdr:from>
    <xdr:to>
      <xdr:col>2</xdr:col>
      <xdr:colOff>200025</xdr:colOff>
      <xdr:row>7</xdr:row>
      <xdr:rowOff>0</xdr:rowOff>
    </xdr:to>
    <xdr:sp macro="" textlink="">
      <xdr:nvSpPr>
        <xdr:cNvPr id="21" name="TextBox 20"/>
        <xdr:cNvSpPr txBox="1"/>
      </xdr:nvSpPr>
      <xdr:spPr>
        <a:xfrm>
          <a:off x="819150" y="1009650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Retail</a:t>
          </a:r>
        </a:p>
      </xdr:txBody>
    </xdr:sp>
    <xdr:clientData/>
  </xdr:twoCellAnchor>
  <xdr:twoCellAnchor>
    <xdr:from>
      <xdr:col>1</xdr:col>
      <xdr:colOff>28576</xdr:colOff>
      <xdr:row>88</xdr:row>
      <xdr:rowOff>161925</xdr:rowOff>
    </xdr:from>
    <xdr:to>
      <xdr:col>2</xdr:col>
      <xdr:colOff>781051</xdr:colOff>
      <xdr:row>96</xdr:row>
      <xdr:rowOff>161925</xdr:rowOff>
    </xdr:to>
    <xdr:sp macro="" textlink="">
      <xdr:nvSpPr>
        <xdr:cNvPr id="22" name="Rectangle 21"/>
        <xdr:cNvSpPr/>
      </xdr:nvSpPr>
      <xdr:spPr>
        <a:xfrm>
          <a:off x="876301" y="16925925"/>
          <a:ext cx="1600200" cy="1524000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819150</xdr:colOff>
      <xdr:row>7</xdr:row>
      <xdr:rowOff>28575</xdr:rowOff>
    </xdr:from>
    <xdr:to>
      <xdr:col>2</xdr:col>
      <xdr:colOff>200025</xdr:colOff>
      <xdr:row>8</xdr:row>
      <xdr:rowOff>161925</xdr:rowOff>
    </xdr:to>
    <xdr:sp macro="" textlink="">
      <xdr:nvSpPr>
        <xdr:cNvPr id="24" name="TextBox 23"/>
        <xdr:cNvSpPr txBox="1"/>
      </xdr:nvSpPr>
      <xdr:spPr>
        <a:xfrm>
          <a:off x="819150" y="1362075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Restaurant</a:t>
          </a:r>
        </a:p>
      </xdr:txBody>
    </xdr:sp>
    <xdr:clientData/>
  </xdr:twoCellAnchor>
  <xdr:twoCellAnchor>
    <xdr:from>
      <xdr:col>4</xdr:col>
      <xdr:colOff>266700</xdr:colOff>
      <xdr:row>91</xdr:row>
      <xdr:rowOff>76200</xdr:rowOff>
    </xdr:from>
    <xdr:to>
      <xdr:col>4</xdr:col>
      <xdr:colOff>809625</xdr:colOff>
      <xdr:row>95</xdr:row>
      <xdr:rowOff>171449</xdr:rowOff>
    </xdr:to>
    <xdr:sp macro="" textlink="">
      <xdr:nvSpPr>
        <xdr:cNvPr id="26" name="Rectangle 25"/>
        <xdr:cNvSpPr/>
      </xdr:nvSpPr>
      <xdr:spPr>
        <a:xfrm>
          <a:off x="3657600" y="17411700"/>
          <a:ext cx="542925" cy="857249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3</xdr:row>
      <xdr:rowOff>57150</xdr:rowOff>
    </xdr:from>
    <xdr:to>
      <xdr:col>1</xdr:col>
      <xdr:colOff>9525</xdr:colOff>
      <xdr:row>4</xdr:row>
      <xdr:rowOff>180975</xdr:rowOff>
    </xdr:to>
    <xdr:sp macro="" textlink="">
      <xdr:nvSpPr>
        <xdr:cNvPr id="35" name="Rectangle 34"/>
        <xdr:cNvSpPr/>
      </xdr:nvSpPr>
      <xdr:spPr>
        <a:xfrm>
          <a:off x="561975" y="628650"/>
          <a:ext cx="295275" cy="31432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800100</xdr:colOff>
      <xdr:row>3</xdr:row>
      <xdr:rowOff>76200</xdr:rowOff>
    </xdr:from>
    <xdr:to>
      <xdr:col>3</xdr:col>
      <xdr:colOff>38100</xdr:colOff>
      <xdr:row>5</xdr:row>
      <xdr:rowOff>19050</xdr:rowOff>
    </xdr:to>
    <xdr:sp macro="" textlink="">
      <xdr:nvSpPr>
        <xdr:cNvPr id="36" name="TextBox 35"/>
        <xdr:cNvSpPr txBox="1"/>
      </xdr:nvSpPr>
      <xdr:spPr>
        <a:xfrm>
          <a:off x="800100" y="6477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Other Office Space </a:t>
          </a:r>
        </a:p>
      </xdr:txBody>
    </xdr:sp>
    <xdr:clientData/>
  </xdr:twoCellAnchor>
  <xdr:twoCellAnchor>
    <xdr:from>
      <xdr:col>0</xdr:col>
      <xdr:colOff>571500</xdr:colOff>
      <xdr:row>5</xdr:row>
      <xdr:rowOff>38100</xdr:rowOff>
    </xdr:from>
    <xdr:to>
      <xdr:col>1</xdr:col>
      <xdr:colOff>19050</xdr:colOff>
      <xdr:row>6</xdr:row>
      <xdr:rowOff>161925</xdr:rowOff>
    </xdr:to>
    <xdr:sp macro="" textlink="">
      <xdr:nvSpPr>
        <xdr:cNvPr id="37" name="Rectangle 36"/>
        <xdr:cNvSpPr/>
      </xdr:nvSpPr>
      <xdr:spPr>
        <a:xfrm>
          <a:off x="571500" y="990600"/>
          <a:ext cx="295275" cy="314325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7</xdr:row>
      <xdr:rowOff>9525</xdr:rowOff>
    </xdr:from>
    <xdr:to>
      <xdr:col>1</xdr:col>
      <xdr:colOff>9525</xdr:colOff>
      <xdr:row>8</xdr:row>
      <xdr:rowOff>133350</xdr:rowOff>
    </xdr:to>
    <xdr:sp macro="" textlink="">
      <xdr:nvSpPr>
        <xdr:cNvPr id="38" name="Rectangle 37"/>
        <xdr:cNvSpPr/>
      </xdr:nvSpPr>
      <xdr:spPr>
        <a:xfrm>
          <a:off x="561975" y="1343025"/>
          <a:ext cx="295275" cy="314325"/>
        </a:xfrm>
        <a:prstGeom prst="rect">
          <a:avLst/>
        </a:prstGeom>
        <a:solidFill>
          <a:srgbClr val="FFFF0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314325</xdr:colOff>
      <xdr:row>68</xdr:row>
      <xdr:rowOff>66675</xdr:rowOff>
    </xdr:from>
    <xdr:to>
      <xdr:col>0</xdr:col>
      <xdr:colOff>609600</xdr:colOff>
      <xdr:row>70</xdr:row>
      <xdr:rowOff>0</xdr:rowOff>
    </xdr:to>
    <xdr:sp macro="" textlink="">
      <xdr:nvSpPr>
        <xdr:cNvPr id="39" name="Rectangle 38"/>
        <xdr:cNvSpPr/>
      </xdr:nvSpPr>
      <xdr:spPr>
        <a:xfrm>
          <a:off x="314325" y="12639675"/>
          <a:ext cx="295275" cy="31432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552450</xdr:colOff>
      <xdr:row>68</xdr:row>
      <xdr:rowOff>66675</xdr:rowOff>
    </xdr:from>
    <xdr:to>
      <xdr:col>2</xdr:col>
      <xdr:colOff>838200</xdr:colOff>
      <xdr:row>70</xdr:row>
      <xdr:rowOff>9525</xdr:rowOff>
    </xdr:to>
    <xdr:sp macro="" textlink="">
      <xdr:nvSpPr>
        <xdr:cNvPr id="40" name="TextBox 39"/>
        <xdr:cNvSpPr txBox="1"/>
      </xdr:nvSpPr>
      <xdr:spPr>
        <a:xfrm>
          <a:off x="552450" y="13020675"/>
          <a:ext cx="19812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 (current tenant) </a:t>
          </a:r>
        </a:p>
      </xdr:txBody>
    </xdr:sp>
    <xdr:clientData/>
  </xdr:twoCellAnchor>
  <xdr:twoCellAnchor>
    <xdr:from>
      <xdr:col>0</xdr:col>
      <xdr:colOff>571500</xdr:colOff>
      <xdr:row>72</xdr:row>
      <xdr:rowOff>47625</xdr:rowOff>
    </xdr:from>
    <xdr:to>
      <xdr:col>1</xdr:col>
      <xdr:colOff>800100</xdr:colOff>
      <xdr:row>73</xdr:row>
      <xdr:rowOff>180975</xdr:rowOff>
    </xdr:to>
    <xdr:sp macro="" textlink="">
      <xdr:nvSpPr>
        <xdr:cNvPr id="41" name="TextBox 40"/>
        <xdr:cNvSpPr txBox="1"/>
      </xdr:nvSpPr>
      <xdr:spPr>
        <a:xfrm>
          <a:off x="571500" y="13382625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Retail</a:t>
          </a:r>
        </a:p>
      </xdr:txBody>
    </xdr:sp>
    <xdr:clientData/>
  </xdr:twoCellAnchor>
  <xdr:twoCellAnchor>
    <xdr:from>
      <xdr:col>0</xdr:col>
      <xdr:colOff>571500</xdr:colOff>
      <xdr:row>74</xdr:row>
      <xdr:rowOff>19050</xdr:rowOff>
    </xdr:from>
    <xdr:to>
      <xdr:col>1</xdr:col>
      <xdr:colOff>800100</xdr:colOff>
      <xdr:row>75</xdr:row>
      <xdr:rowOff>152400</xdr:rowOff>
    </xdr:to>
    <xdr:sp macro="" textlink="">
      <xdr:nvSpPr>
        <xdr:cNvPr id="42" name="TextBox 41"/>
        <xdr:cNvSpPr txBox="1"/>
      </xdr:nvSpPr>
      <xdr:spPr>
        <a:xfrm>
          <a:off x="571500" y="13735050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Restaurant</a:t>
          </a:r>
        </a:p>
      </xdr:txBody>
    </xdr:sp>
    <xdr:clientData/>
  </xdr:twoCellAnchor>
  <xdr:twoCellAnchor>
    <xdr:from>
      <xdr:col>0</xdr:col>
      <xdr:colOff>314325</xdr:colOff>
      <xdr:row>70</xdr:row>
      <xdr:rowOff>47625</xdr:rowOff>
    </xdr:from>
    <xdr:to>
      <xdr:col>0</xdr:col>
      <xdr:colOff>609600</xdr:colOff>
      <xdr:row>71</xdr:row>
      <xdr:rowOff>171450</xdr:rowOff>
    </xdr:to>
    <xdr:sp macro="" textlink="">
      <xdr:nvSpPr>
        <xdr:cNvPr id="43" name="Rectangle 42"/>
        <xdr:cNvSpPr/>
      </xdr:nvSpPr>
      <xdr:spPr>
        <a:xfrm>
          <a:off x="314325" y="13001625"/>
          <a:ext cx="295275" cy="31432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552450</xdr:colOff>
      <xdr:row>70</xdr:row>
      <xdr:rowOff>66675</xdr:rowOff>
    </xdr:from>
    <xdr:to>
      <xdr:col>2</xdr:col>
      <xdr:colOff>638175</xdr:colOff>
      <xdr:row>72</xdr:row>
      <xdr:rowOff>9525</xdr:rowOff>
    </xdr:to>
    <xdr:sp macro="" textlink="">
      <xdr:nvSpPr>
        <xdr:cNvPr id="44" name="TextBox 43"/>
        <xdr:cNvSpPr txBox="1"/>
      </xdr:nvSpPr>
      <xdr:spPr>
        <a:xfrm>
          <a:off x="552450" y="130206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Other Office Space </a:t>
          </a:r>
        </a:p>
      </xdr:txBody>
    </xdr:sp>
    <xdr:clientData/>
  </xdr:twoCellAnchor>
  <xdr:twoCellAnchor>
    <xdr:from>
      <xdr:col>0</xdr:col>
      <xdr:colOff>323850</xdr:colOff>
      <xdr:row>72</xdr:row>
      <xdr:rowOff>28575</xdr:rowOff>
    </xdr:from>
    <xdr:to>
      <xdr:col>0</xdr:col>
      <xdr:colOff>619125</xdr:colOff>
      <xdr:row>73</xdr:row>
      <xdr:rowOff>152400</xdr:rowOff>
    </xdr:to>
    <xdr:sp macro="" textlink="">
      <xdr:nvSpPr>
        <xdr:cNvPr id="45" name="Rectangle 44"/>
        <xdr:cNvSpPr/>
      </xdr:nvSpPr>
      <xdr:spPr>
        <a:xfrm>
          <a:off x="323850" y="13363575"/>
          <a:ext cx="295275" cy="314325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314325</xdr:colOff>
      <xdr:row>74</xdr:row>
      <xdr:rowOff>0</xdr:rowOff>
    </xdr:from>
    <xdr:to>
      <xdr:col>0</xdr:col>
      <xdr:colOff>609600</xdr:colOff>
      <xdr:row>75</xdr:row>
      <xdr:rowOff>123825</xdr:rowOff>
    </xdr:to>
    <xdr:sp macro="" textlink="">
      <xdr:nvSpPr>
        <xdr:cNvPr id="46" name="Rectangle 45"/>
        <xdr:cNvSpPr/>
      </xdr:nvSpPr>
      <xdr:spPr>
        <a:xfrm>
          <a:off x="314325" y="13716000"/>
          <a:ext cx="295275" cy="314325"/>
        </a:xfrm>
        <a:prstGeom prst="rect">
          <a:avLst/>
        </a:prstGeom>
        <a:solidFill>
          <a:srgbClr val="FFFF0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571500</xdr:colOff>
      <xdr:row>108</xdr:row>
      <xdr:rowOff>38100</xdr:rowOff>
    </xdr:from>
    <xdr:to>
      <xdr:col>6</xdr:col>
      <xdr:colOff>285750</xdr:colOff>
      <xdr:row>128</xdr:row>
      <xdr:rowOff>19050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70" t="6913" r="12501" b="74242"/>
        <a:stretch/>
      </xdr:blipFill>
      <xdr:spPr>
        <a:xfrm>
          <a:off x="1419225" y="20612100"/>
          <a:ext cx="3952875" cy="37909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533400</xdr:colOff>
      <xdr:row>94</xdr:row>
      <xdr:rowOff>47626</xdr:rowOff>
    </xdr:from>
    <xdr:to>
      <xdr:col>6</xdr:col>
      <xdr:colOff>552450</xdr:colOff>
      <xdr:row>102</xdr:row>
      <xdr:rowOff>76202</xdr:rowOff>
    </xdr:to>
    <xdr:sp macro="" textlink="">
      <xdr:nvSpPr>
        <xdr:cNvPr id="48" name="Rectangle 47"/>
        <xdr:cNvSpPr/>
      </xdr:nvSpPr>
      <xdr:spPr>
        <a:xfrm>
          <a:off x="4772025" y="17954626"/>
          <a:ext cx="866775" cy="1552576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266700</xdr:colOff>
      <xdr:row>1</xdr:row>
      <xdr:rowOff>95250</xdr:rowOff>
    </xdr:from>
    <xdr:to>
      <xdr:col>3</xdr:col>
      <xdr:colOff>561975</xdr:colOff>
      <xdr:row>3</xdr:row>
      <xdr:rowOff>28575</xdr:rowOff>
    </xdr:to>
    <xdr:sp macro="" textlink="">
      <xdr:nvSpPr>
        <xdr:cNvPr id="49" name="Rectangle 48"/>
        <xdr:cNvSpPr/>
      </xdr:nvSpPr>
      <xdr:spPr>
        <a:xfrm>
          <a:off x="2809875" y="285750"/>
          <a:ext cx="295275" cy="314325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523875</xdr:colOff>
      <xdr:row>1</xdr:row>
      <xdr:rowOff>114300</xdr:rowOff>
    </xdr:from>
    <xdr:to>
      <xdr:col>5</xdr:col>
      <xdr:colOff>609600</xdr:colOff>
      <xdr:row>3</xdr:row>
      <xdr:rowOff>57150</xdr:rowOff>
    </xdr:to>
    <xdr:sp macro="" textlink="">
      <xdr:nvSpPr>
        <xdr:cNvPr id="50" name="TextBox 49"/>
        <xdr:cNvSpPr txBox="1"/>
      </xdr:nvSpPr>
      <xdr:spPr>
        <a:xfrm>
          <a:off x="3067050" y="3048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Community</a:t>
          </a:r>
          <a:r>
            <a:rPr lang="en-US" sz="1100" baseline="0"/>
            <a:t> Use</a:t>
          </a:r>
          <a:endParaRPr lang="en-US" sz="1100"/>
        </a:p>
      </xdr:txBody>
    </xdr:sp>
    <xdr:clientData/>
  </xdr:twoCellAnchor>
  <xdr:twoCellAnchor>
    <xdr:from>
      <xdr:col>3</xdr:col>
      <xdr:colOff>266700</xdr:colOff>
      <xdr:row>3</xdr:row>
      <xdr:rowOff>85725</xdr:rowOff>
    </xdr:from>
    <xdr:to>
      <xdr:col>3</xdr:col>
      <xdr:colOff>561975</xdr:colOff>
      <xdr:row>5</xdr:row>
      <xdr:rowOff>19050</xdr:rowOff>
    </xdr:to>
    <xdr:sp macro="" textlink="">
      <xdr:nvSpPr>
        <xdr:cNvPr id="51" name="Rectangle 50"/>
        <xdr:cNvSpPr/>
      </xdr:nvSpPr>
      <xdr:spPr>
        <a:xfrm>
          <a:off x="2809875" y="657225"/>
          <a:ext cx="295275" cy="314325"/>
        </a:xfrm>
        <a:prstGeom prst="rect">
          <a:avLst/>
        </a:prstGeom>
        <a:solidFill>
          <a:schemeClr val="bg1">
            <a:alpha val="46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514350</xdr:colOff>
      <xdr:row>3</xdr:row>
      <xdr:rowOff>104775</xdr:rowOff>
    </xdr:from>
    <xdr:to>
      <xdr:col>5</xdr:col>
      <xdr:colOff>600075</xdr:colOff>
      <xdr:row>5</xdr:row>
      <xdr:rowOff>47625</xdr:rowOff>
    </xdr:to>
    <xdr:sp macro="" textlink="">
      <xdr:nvSpPr>
        <xdr:cNvPr id="52" name="TextBox 51"/>
        <xdr:cNvSpPr txBox="1"/>
      </xdr:nvSpPr>
      <xdr:spPr>
        <a:xfrm>
          <a:off x="3057525" y="6762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Non-Revenue</a:t>
          </a:r>
        </a:p>
      </xdr:txBody>
    </xdr:sp>
    <xdr:clientData/>
  </xdr:twoCellAnchor>
  <xdr:twoCellAnchor>
    <xdr:from>
      <xdr:col>3</xdr:col>
      <xdr:colOff>161925</xdr:colOff>
      <xdr:row>68</xdr:row>
      <xdr:rowOff>95250</xdr:rowOff>
    </xdr:from>
    <xdr:to>
      <xdr:col>3</xdr:col>
      <xdr:colOff>457200</xdr:colOff>
      <xdr:row>70</xdr:row>
      <xdr:rowOff>28575</xdr:rowOff>
    </xdr:to>
    <xdr:sp macro="" textlink="">
      <xdr:nvSpPr>
        <xdr:cNvPr id="53" name="Rectangle 52"/>
        <xdr:cNvSpPr/>
      </xdr:nvSpPr>
      <xdr:spPr>
        <a:xfrm>
          <a:off x="2705100" y="13049250"/>
          <a:ext cx="295275" cy="314325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419100</xdr:colOff>
      <xdr:row>68</xdr:row>
      <xdr:rowOff>114300</xdr:rowOff>
    </xdr:from>
    <xdr:to>
      <xdr:col>5</xdr:col>
      <xdr:colOff>504825</xdr:colOff>
      <xdr:row>70</xdr:row>
      <xdr:rowOff>57150</xdr:rowOff>
    </xdr:to>
    <xdr:sp macro="" textlink="">
      <xdr:nvSpPr>
        <xdr:cNvPr id="54" name="TextBox 53"/>
        <xdr:cNvSpPr txBox="1"/>
      </xdr:nvSpPr>
      <xdr:spPr>
        <a:xfrm>
          <a:off x="2962275" y="130683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Community</a:t>
          </a:r>
          <a:r>
            <a:rPr lang="en-US" sz="1100" baseline="0"/>
            <a:t> Use</a:t>
          </a:r>
          <a:endParaRPr lang="en-US" sz="1100"/>
        </a:p>
      </xdr:txBody>
    </xdr:sp>
    <xdr:clientData/>
  </xdr:twoCellAnchor>
  <xdr:twoCellAnchor>
    <xdr:from>
      <xdr:col>3</xdr:col>
      <xdr:colOff>161925</xdr:colOff>
      <xdr:row>70</xdr:row>
      <xdr:rowOff>85725</xdr:rowOff>
    </xdr:from>
    <xdr:to>
      <xdr:col>3</xdr:col>
      <xdr:colOff>457200</xdr:colOff>
      <xdr:row>72</xdr:row>
      <xdr:rowOff>19050</xdr:rowOff>
    </xdr:to>
    <xdr:sp macro="" textlink="">
      <xdr:nvSpPr>
        <xdr:cNvPr id="55" name="Rectangle 54"/>
        <xdr:cNvSpPr/>
      </xdr:nvSpPr>
      <xdr:spPr>
        <a:xfrm>
          <a:off x="2705100" y="13420725"/>
          <a:ext cx="295275" cy="314325"/>
        </a:xfrm>
        <a:prstGeom prst="rect">
          <a:avLst/>
        </a:prstGeom>
        <a:solidFill>
          <a:schemeClr val="bg1">
            <a:alpha val="46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409575</xdr:colOff>
      <xdr:row>70</xdr:row>
      <xdr:rowOff>104775</xdr:rowOff>
    </xdr:from>
    <xdr:to>
      <xdr:col>5</xdr:col>
      <xdr:colOff>495300</xdr:colOff>
      <xdr:row>72</xdr:row>
      <xdr:rowOff>47625</xdr:rowOff>
    </xdr:to>
    <xdr:sp macro="" textlink="">
      <xdr:nvSpPr>
        <xdr:cNvPr id="56" name="TextBox 55"/>
        <xdr:cNvSpPr txBox="1"/>
      </xdr:nvSpPr>
      <xdr:spPr>
        <a:xfrm>
          <a:off x="2952750" y="134397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Non-Revenue</a:t>
          </a:r>
        </a:p>
      </xdr:txBody>
    </xdr:sp>
    <xdr:clientData/>
  </xdr:twoCellAnchor>
  <xdr:twoCellAnchor>
    <xdr:from>
      <xdr:col>3</xdr:col>
      <xdr:colOff>219074</xdr:colOff>
      <xdr:row>41</xdr:row>
      <xdr:rowOff>171450</xdr:rowOff>
    </xdr:from>
    <xdr:to>
      <xdr:col>5</xdr:col>
      <xdr:colOff>304799</xdr:colOff>
      <xdr:row>46</xdr:row>
      <xdr:rowOff>66675</xdr:rowOff>
    </xdr:to>
    <xdr:sp macro="" textlink="">
      <xdr:nvSpPr>
        <xdr:cNvPr id="57" name="Rectangle 56"/>
        <xdr:cNvSpPr/>
      </xdr:nvSpPr>
      <xdr:spPr>
        <a:xfrm>
          <a:off x="2762249" y="7981950"/>
          <a:ext cx="1781175" cy="847725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657224</xdr:colOff>
      <xdr:row>40</xdr:row>
      <xdr:rowOff>133350</xdr:rowOff>
    </xdr:from>
    <xdr:to>
      <xdr:col>2</xdr:col>
      <xdr:colOff>571499</xdr:colOff>
      <xdr:row>54</xdr:row>
      <xdr:rowOff>0</xdr:rowOff>
    </xdr:to>
    <xdr:sp macro="" textlink="">
      <xdr:nvSpPr>
        <xdr:cNvPr id="58" name="Rectangle 57"/>
        <xdr:cNvSpPr/>
      </xdr:nvSpPr>
      <xdr:spPr>
        <a:xfrm>
          <a:off x="657224" y="7753350"/>
          <a:ext cx="1609725" cy="2533650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561975</xdr:colOff>
      <xdr:row>78</xdr:row>
      <xdr:rowOff>38100</xdr:rowOff>
    </xdr:from>
    <xdr:to>
      <xdr:col>6</xdr:col>
      <xdr:colOff>542925</xdr:colOff>
      <xdr:row>84</xdr:row>
      <xdr:rowOff>85725</xdr:rowOff>
    </xdr:to>
    <xdr:sp macro="" textlink="">
      <xdr:nvSpPr>
        <xdr:cNvPr id="60" name="Rectangle 59"/>
        <xdr:cNvSpPr/>
      </xdr:nvSpPr>
      <xdr:spPr>
        <a:xfrm>
          <a:off x="4800600" y="14897100"/>
          <a:ext cx="828675" cy="119062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447675</xdr:colOff>
      <xdr:row>84</xdr:row>
      <xdr:rowOff>57150</xdr:rowOff>
    </xdr:from>
    <xdr:to>
      <xdr:col>4</xdr:col>
      <xdr:colOff>238125</xdr:colOff>
      <xdr:row>89</xdr:row>
      <xdr:rowOff>9525</xdr:rowOff>
    </xdr:to>
    <xdr:sp macro="" textlink="">
      <xdr:nvSpPr>
        <xdr:cNvPr id="61" name="Rectangle 60"/>
        <xdr:cNvSpPr/>
      </xdr:nvSpPr>
      <xdr:spPr>
        <a:xfrm>
          <a:off x="2990850" y="16059150"/>
          <a:ext cx="638175" cy="90487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28575</xdr:colOff>
      <xdr:row>83</xdr:row>
      <xdr:rowOff>114300</xdr:rowOff>
    </xdr:from>
    <xdr:to>
      <xdr:col>2</xdr:col>
      <xdr:colOff>781050</xdr:colOff>
      <xdr:row>88</xdr:row>
      <xdr:rowOff>133350</xdr:rowOff>
    </xdr:to>
    <xdr:sp macro="" textlink="">
      <xdr:nvSpPr>
        <xdr:cNvPr id="62" name="Rectangle 61"/>
        <xdr:cNvSpPr/>
      </xdr:nvSpPr>
      <xdr:spPr>
        <a:xfrm>
          <a:off x="876300" y="15925800"/>
          <a:ext cx="1600200" cy="971550"/>
        </a:xfrm>
        <a:prstGeom prst="rect">
          <a:avLst/>
        </a:prstGeom>
        <a:solidFill>
          <a:srgbClr val="FFFF0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219075</xdr:colOff>
      <xdr:row>103</xdr:row>
      <xdr:rowOff>0</xdr:rowOff>
    </xdr:from>
    <xdr:to>
      <xdr:col>3</xdr:col>
      <xdr:colOff>285750</xdr:colOff>
      <xdr:row>105</xdr:row>
      <xdr:rowOff>19050</xdr:rowOff>
    </xdr:to>
    <xdr:sp macro="" textlink="">
      <xdr:nvSpPr>
        <xdr:cNvPr id="63" name="TextBox 62"/>
        <xdr:cNvSpPr txBox="1"/>
      </xdr:nvSpPr>
      <xdr:spPr>
        <a:xfrm>
          <a:off x="219075" y="19621500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GROUND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76200</xdr:colOff>
      <xdr:row>59</xdr:row>
      <xdr:rowOff>95250</xdr:rowOff>
    </xdr:from>
    <xdr:to>
      <xdr:col>3</xdr:col>
      <xdr:colOff>142875</xdr:colOff>
      <xdr:row>61</xdr:row>
      <xdr:rowOff>114300</xdr:rowOff>
    </xdr:to>
    <xdr:sp macro="" textlink="">
      <xdr:nvSpPr>
        <xdr:cNvPr id="65" name="TextBox 64"/>
        <xdr:cNvSpPr txBox="1"/>
      </xdr:nvSpPr>
      <xdr:spPr>
        <a:xfrm>
          <a:off x="76200" y="11334750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 FIRST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85725</xdr:colOff>
      <xdr:row>28</xdr:row>
      <xdr:rowOff>9525</xdr:rowOff>
    </xdr:from>
    <xdr:to>
      <xdr:col>3</xdr:col>
      <xdr:colOff>152400</xdr:colOff>
      <xdr:row>30</xdr:row>
      <xdr:rowOff>28575</xdr:rowOff>
    </xdr:to>
    <xdr:sp macro="" textlink="">
      <xdr:nvSpPr>
        <xdr:cNvPr id="66" name="TextBox 65"/>
        <xdr:cNvSpPr txBox="1"/>
      </xdr:nvSpPr>
      <xdr:spPr>
        <a:xfrm>
          <a:off x="85725" y="5343525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 SECOND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342900</xdr:colOff>
      <xdr:row>51</xdr:row>
      <xdr:rowOff>104774</xdr:rowOff>
    </xdr:from>
    <xdr:to>
      <xdr:col>6</xdr:col>
      <xdr:colOff>323850</xdr:colOff>
      <xdr:row>59</xdr:row>
      <xdr:rowOff>95250</xdr:rowOff>
    </xdr:to>
    <xdr:sp macro="" textlink="">
      <xdr:nvSpPr>
        <xdr:cNvPr id="59" name="Rectangle 58"/>
        <xdr:cNvSpPr/>
      </xdr:nvSpPr>
      <xdr:spPr>
        <a:xfrm>
          <a:off x="4581525" y="9820274"/>
          <a:ext cx="828675" cy="1514476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209550</xdr:colOff>
      <xdr:row>48</xdr:row>
      <xdr:rowOff>95249</xdr:rowOff>
    </xdr:from>
    <xdr:to>
      <xdr:col>5</xdr:col>
      <xdr:colOff>333375</xdr:colOff>
      <xdr:row>53</xdr:row>
      <xdr:rowOff>28575</xdr:rowOff>
    </xdr:to>
    <xdr:sp macro="" textlink="">
      <xdr:nvSpPr>
        <xdr:cNvPr id="67" name="Rectangle 66"/>
        <xdr:cNvSpPr/>
      </xdr:nvSpPr>
      <xdr:spPr>
        <a:xfrm>
          <a:off x="2752725" y="9239249"/>
          <a:ext cx="1819275" cy="885826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77</xdr:row>
      <xdr:rowOff>0</xdr:rowOff>
    </xdr:from>
    <xdr:to>
      <xdr:col>7</xdr:col>
      <xdr:colOff>962025</xdr:colOff>
      <xdr:row>104</xdr:row>
      <xdr:rowOff>133338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7" t="6913" r="43382" b="66856"/>
        <a:stretch/>
      </xdr:blipFill>
      <xdr:spPr>
        <a:xfrm>
          <a:off x="9525" y="14668500"/>
          <a:ext cx="6886575" cy="52768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7</xdr:col>
      <xdr:colOff>962026</xdr:colOff>
      <xdr:row>63</xdr:row>
      <xdr:rowOff>133356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4" t="35227" r="41974" b="35701"/>
        <a:stretch/>
      </xdr:blipFill>
      <xdr:spPr>
        <a:xfrm>
          <a:off x="1" y="6286500"/>
          <a:ext cx="6896100" cy="584835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962025</xdr:colOff>
      <xdr:row>30</xdr:row>
      <xdr:rowOff>95212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79" t="64104" r="42162" b="7963"/>
        <a:stretch/>
      </xdr:blipFill>
      <xdr:spPr>
        <a:xfrm>
          <a:off x="0" y="190500"/>
          <a:ext cx="6896100" cy="56197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609600</xdr:colOff>
      <xdr:row>10</xdr:row>
      <xdr:rowOff>38100</xdr:rowOff>
    </xdr:from>
    <xdr:to>
      <xdr:col>5</xdr:col>
      <xdr:colOff>371475</xdr:colOff>
      <xdr:row>21</xdr:row>
      <xdr:rowOff>180975</xdr:rowOff>
    </xdr:to>
    <xdr:sp macro="" textlink="">
      <xdr:nvSpPr>
        <xdr:cNvPr id="5" name="Rectangle 4"/>
        <xdr:cNvSpPr/>
      </xdr:nvSpPr>
      <xdr:spPr>
        <a:xfrm>
          <a:off x="2305050" y="1943100"/>
          <a:ext cx="2305050" cy="223837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371475</xdr:colOff>
      <xdr:row>11</xdr:row>
      <xdr:rowOff>180975</xdr:rowOff>
    </xdr:from>
    <xdr:to>
      <xdr:col>6</xdr:col>
      <xdr:colOff>523876</xdr:colOff>
      <xdr:row>20</xdr:row>
      <xdr:rowOff>85725</xdr:rowOff>
    </xdr:to>
    <xdr:sp macro="" textlink="">
      <xdr:nvSpPr>
        <xdr:cNvPr id="6" name="Rectangle 5"/>
        <xdr:cNvSpPr/>
      </xdr:nvSpPr>
      <xdr:spPr>
        <a:xfrm>
          <a:off x="4610100" y="2276475"/>
          <a:ext cx="1000126" cy="1619250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333375</xdr:colOff>
      <xdr:row>20</xdr:row>
      <xdr:rowOff>57151</xdr:rowOff>
    </xdr:from>
    <xdr:to>
      <xdr:col>6</xdr:col>
      <xdr:colOff>361949</xdr:colOff>
      <xdr:row>28</xdr:row>
      <xdr:rowOff>28575</xdr:rowOff>
    </xdr:to>
    <xdr:sp macro="" textlink="">
      <xdr:nvSpPr>
        <xdr:cNvPr id="7" name="Rectangle 6"/>
        <xdr:cNvSpPr/>
      </xdr:nvSpPr>
      <xdr:spPr>
        <a:xfrm>
          <a:off x="4572000" y="3867151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361950</xdr:colOff>
      <xdr:row>4</xdr:row>
      <xdr:rowOff>19051</xdr:rowOff>
    </xdr:from>
    <xdr:to>
      <xdr:col>6</xdr:col>
      <xdr:colOff>390524</xdr:colOff>
      <xdr:row>11</xdr:row>
      <xdr:rowOff>180975</xdr:rowOff>
    </xdr:to>
    <xdr:sp macro="" textlink="">
      <xdr:nvSpPr>
        <xdr:cNvPr id="8" name="Rectangle 7"/>
        <xdr:cNvSpPr/>
      </xdr:nvSpPr>
      <xdr:spPr>
        <a:xfrm>
          <a:off x="4600575" y="781051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1</xdr:row>
      <xdr:rowOff>76200</xdr:rowOff>
    </xdr:from>
    <xdr:to>
      <xdr:col>1</xdr:col>
      <xdr:colOff>9525</xdr:colOff>
      <xdr:row>3</xdr:row>
      <xdr:rowOff>9525</xdr:rowOff>
    </xdr:to>
    <xdr:sp macro="" textlink="">
      <xdr:nvSpPr>
        <xdr:cNvPr id="9" name="Rectangle 8"/>
        <xdr:cNvSpPr/>
      </xdr:nvSpPr>
      <xdr:spPr>
        <a:xfrm>
          <a:off x="561975" y="266700"/>
          <a:ext cx="295275" cy="31432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800100</xdr:colOff>
      <xdr:row>1</xdr:row>
      <xdr:rowOff>76200</xdr:rowOff>
    </xdr:from>
    <xdr:to>
      <xdr:col>3</xdr:col>
      <xdr:colOff>190500</xdr:colOff>
      <xdr:row>3</xdr:row>
      <xdr:rowOff>19050</xdr:rowOff>
    </xdr:to>
    <xdr:sp macro="" textlink="">
      <xdr:nvSpPr>
        <xdr:cNvPr id="10" name="TextBox 9"/>
        <xdr:cNvSpPr txBox="1"/>
      </xdr:nvSpPr>
      <xdr:spPr>
        <a:xfrm>
          <a:off x="800100" y="266700"/>
          <a:ext cx="19335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 (current tenant)</a:t>
          </a:r>
        </a:p>
      </xdr:txBody>
    </xdr:sp>
    <xdr:clientData/>
  </xdr:twoCellAnchor>
  <xdr:twoCellAnchor>
    <xdr:from>
      <xdr:col>0</xdr:col>
      <xdr:colOff>819150</xdr:colOff>
      <xdr:row>5</xdr:row>
      <xdr:rowOff>57150</xdr:rowOff>
    </xdr:from>
    <xdr:to>
      <xdr:col>2</xdr:col>
      <xdr:colOff>200025</xdr:colOff>
      <xdr:row>7</xdr:row>
      <xdr:rowOff>0</xdr:rowOff>
    </xdr:to>
    <xdr:sp macro="" textlink="">
      <xdr:nvSpPr>
        <xdr:cNvPr id="11" name="TextBox 10"/>
        <xdr:cNvSpPr txBox="1"/>
      </xdr:nvSpPr>
      <xdr:spPr>
        <a:xfrm>
          <a:off x="819150" y="1009650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Retail</a:t>
          </a:r>
        </a:p>
      </xdr:txBody>
    </xdr:sp>
    <xdr:clientData/>
  </xdr:twoCellAnchor>
  <xdr:twoCellAnchor>
    <xdr:from>
      <xdr:col>0</xdr:col>
      <xdr:colOff>819150</xdr:colOff>
      <xdr:row>7</xdr:row>
      <xdr:rowOff>28575</xdr:rowOff>
    </xdr:from>
    <xdr:to>
      <xdr:col>2</xdr:col>
      <xdr:colOff>200025</xdr:colOff>
      <xdr:row>8</xdr:row>
      <xdr:rowOff>161925</xdr:rowOff>
    </xdr:to>
    <xdr:sp macro="" textlink="">
      <xdr:nvSpPr>
        <xdr:cNvPr id="12" name="TextBox 11"/>
        <xdr:cNvSpPr txBox="1"/>
      </xdr:nvSpPr>
      <xdr:spPr>
        <a:xfrm>
          <a:off x="819150" y="1362075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Restaurant</a:t>
          </a:r>
        </a:p>
      </xdr:txBody>
    </xdr:sp>
    <xdr:clientData/>
  </xdr:twoCellAnchor>
  <xdr:twoCellAnchor>
    <xdr:from>
      <xdr:col>4</xdr:col>
      <xdr:colOff>266700</xdr:colOff>
      <xdr:row>91</xdr:row>
      <xdr:rowOff>76200</xdr:rowOff>
    </xdr:from>
    <xdr:to>
      <xdr:col>4</xdr:col>
      <xdr:colOff>809625</xdr:colOff>
      <xdr:row>95</xdr:row>
      <xdr:rowOff>171449</xdr:rowOff>
    </xdr:to>
    <xdr:sp macro="" textlink="">
      <xdr:nvSpPr>
        <xdr:cNvPr id="13" name="Rectangle 12"/>
        <xdr:cNvSpPr/>
      </xdr:nvSpPr>
      <xdr:spPr>
        <a:xfrm>
          <a:off x="3657600" y="17411700"/>
          <a:ext cx="542925" cy="857249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3</xdr:row>
      <xdr:rowOff>57150</xdr:rowOff>
    </xdr:from>
    <xdr:to>
      <xdr:col>1</xdr:col>
      <xdr:colOff>9525</xdr:colOff>
      <xdr:row>4</xdr:row>
      <xdr:rowOff>180975</xdr:rowOff>
    </xdr:to>
    <xdr:sp macro="" textlink="">
      <xdr:nvSpPr>
        <xdr:cNvPr id="14" name="Rectangle 13"/>
        <xdr:cNvSpPr/>
      </xdr:nvSpPr>
      <xdr:spPr>
        <a:xfrm>
          <a:off x="561975" y="628650"/>
          <a:ext cx="295275" cy="31432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800100</xdr:colOff>
      <xdr:row>3</xdr:row>
      <xdr:rowOff>76200</xdr:rowOff>
    </xdr:from>
    <xdr:to>
      <xdr:col>3</xdr:col>
      <xdr:colOff>38100</xdr:colOff>
      <xdr:row>5</xdr:row>
      <xdr:rowOff>19050</xdr:rowOff>
    </xdr:to>
    <xdr:sp macro="" textlink="">
      <xdr:nvSpPr>
        <xdr:cNvPr id="15" name="TextBox 14"/>
        <xdr:cNvSpPr txBox="1"/>
      </xdr:nvSpPr>
      <xdr:spPr>
        <a:xfrm>
          <a:off x="800100" y="6477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 </a:t>
          </a:r>
        </a:p>
      </xdr:txBody>
    </xdr:sp>
    <xdr:clientData/>
  </xdr:twoCellAnchor>
  <xdr:twoCellAnchor>
    <xdr:from>
      <xdr:col>0</xdr:col>
      <xdr:colOff>571500</xdr:colOff>
      <xdr:row>5</xdr:row>
      <xdr:rowOff>38100</xdr:rowOff>
    </xdr:from>
    <xdr:to>
      <xdr:col>1</xdr:col>
      <xdr:colOff>19050</xdr:colOff>
      <xdr:row>6</xdr:row>
      <xdr:rowOff>161925</xdr:rowOff>
    </xdr:to>
    <xdr:sp macro="" textlink="">
      <xdr:nvSpPr>
        <xdr:cNvPr id="16" name="Rectangle 15"/>
        <xdr:cNvSpPr/>
      </xdr:nvSpPr>
      <xdr:spPr>
        <a:xfrm>
          <a:off x="571500" y="990600"/>
          <a:ext cx="295275" cy="314325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561975</xdr:colOff>
      <xdr:row>7</xdr:row>
      <xdr:rowOff>9525</xdr:rowOff>
    </xdr:from>
    <xdr:to>
      <xdr:col>1</xdr:col>
      <xdr:colOff>9525</xdr:colOff>
      <xdr:row>8</xdr:row>
      <xdr:rowOff>133350</xdr:rowOff>
    </xdr:to>
    <xdr:sp macro="" textlink="">
      <xdr:nvSpPr>
        <xdr:cNvPr id="17" name="Rectangle 16"/>
        <xdr:cNvSpPr/>
      </xdr:nvSpPr>
      <xdr:spPr>
        <a:xfrm>
          <a:off x="561975" y="1343025"/>
          <a:ext cx="295275" cy="314325"/>
        </a:xfrm>
        <a:prstGeom prst="rect">
          <a:avLst/>
        </a:prstGeom>
        <a:solidFill>
          <a:srgbClr val="FFFF0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314325</xdr:colOff>
      <xdr:row>68</xdr:row>
      <xdr:rowOff>66675</xdr:rowOff>
    </xdr:from>
    <xdr:to>
      <xdr:col>0</xdr:col>
      <xdr:colOff>609600</xdr:colOff>
      <xdr:row>70</xdr:row>
      <xdr:rowOff>0</xdr:rowOff>
    </xdr:to>
    <xdr:sp macro="" textlink="">
      <xdr:nvSpPr>
        <xdr:cNvPr id="18" name="Rectangle 17"/>
        <xdr:cNvSpPr/>
      </xdr:nvSpPr>
      <xdr:spPr>
        <a:xfrm>
          <a:off x="314325" y="13020675"/>
          <a:ext cx="295275" cy="314325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552450</xdr:colOff>
      <xdr:row>68</xdr:row>
      <xdr:rowOff>66675</xdr:rowOff>
    </xdr:from>
    <xdr:to>
      <xdr:col>3</xdr:col>
      <xdr:colOff>47625</xdr:colOff>
      <xdr:row>70</xdr:row>
      <xdr:rowOff>9525</xdr:rowOff>
    </xdr:to>
    <xdr:sp macro="" textlink="">
      <xdr:nvSpPr>
        <xdr:cNvPr id="19" name="TextBox 18"/>
        <xdr:cNvSpPr txBox="1"/>
      </xdr:nvSpPr>
      <xdr:spPr>
        <a:xfrm>
          <a:off x="552450" y="13020675"/>
          <a:ext cx="20383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 (current tenant)</a:t>
          </a:r>
        </a:p>
      </xdr:txBody>
    </xdr:sp>
    <xdr:clientData/>
  </xdr:twoCellAnchor>
  <xdr:twoCellAnchor>
    <xdr:from>
      <xdr:col>0</xdr:col>
      <xdr:colOff>571500</xdr:colOff>
      <xdr:row>72</xdr:row>
      <xdr:rowOff>47625</xdr:rowOff>
    </xdr:from>
    <xdr:to>
      <xdr:col>1</xdr:col>
      <xdr:colOff>800100</xdr:colOff>
      <xdr:row>73</xdr:row>
      <xdr:rowOff>180975</xdr:rowOff>
    </xdr:to>
    <xdr:sp macro="" textlink="">
      <xdr:nvSpPr>
        <xdr:cNvPr id="20" name="TextBox 19"/>
        <xdr:cNvSpPr txBox="1"/>
      </xdr:nvSpPr>
      <xdr:spPr>
        <a:xfrm>
          <a:off x="571500" y="13763625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Retail</a:t>
          </a:r>
        </a:p>
      </xdr:txBody>
    </xdr:sp>
    <xdr:clientData/>
  </xdr:twoCellAnchor>
  <xdr:twoCellAnchor>
    <xdr:from>
      <xdr:col>0</xdr:col>
      <xdr:colOff>571500</xdr:colOff>
      <xdr:row>74</xdr:row>
      <xdr:rowOff>19050</xdr:rowOff>
    </xdr:from>
    <xdr:to>
      <xdr:col>1</xdr:col>
      <xdr:colOff>800100</xdr:colOff>
      <xdr:row>75</xdr:row>
      <xdr:rowOff>152400</xdr:rowOff>
    </xdr:to>
    <xdr:sp macro="" textlink="">
      <xdr:nvSpPr>
        <xdr:cNvPr id="21" name="TextBox 20"/>
        <xdr:cNvSpPr txBox="1"/>
      </xdr:nvSpPr>
      <xdr:spPr>
        <a:xfrm>
          <a:off x="571500" y="14116050"/>
          <a:ext cx="10763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Restaurant</a:t>
          </a:r>
        </a:p>
      </xdr:txBody>
    </xdr:sp>
    <xdr:clientData/>
  </xdr:twoCellAnchor>
  <xdr:twoCellAnchor>
    <xdr:from>
      <xdr:col>0</xdr:col>
      <xdr:colOff>314325</xdr:colOff>
      <xdr:row>70</xdr:row>
      <xdr:rowOff>47625</xdr:rowOff>
    </xdr:from>
    <xdr:to>
      <xdr:col>0</xdr:col>
      <xdr:colOff>609600</xdr:colOff>
      <xdr:row>71</xdr:row>
      <xdr:rowOff>171450</xdr:rowOff>
    </xdr:to>
    <xdr:sp macro="" textlink="">
      <xdr:nvSpPr>
        <xdr:cNvPr id="22" name="Rectangle 21"/>
        <xdr:cNvSpPr/>
      </xdr:nvSpPr>
      <xdr:spPr>
        <a:xfrm>
          <a:off x="314325" y="13382625"/>
          <a:ext cx="295275" cy="314325"/>
        </a:xfrm>
        <a:prstGeom prst="rect">
          <a:avLst/>
        </a:prstGeom>
        <a:solidFill>
          <a:schemeClr val="tx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552450</xdr:colOff>
      <xdr:row>70</xdr:row>
      <xdr:rowOff>66675</xdr:rowOff>
    </xdr:from>
    <xdr:to>
      <xdr:col>2</xdr:col>
      <xdr:colOff>638175</xdr:colOff>
      <xdr:row>72</xdr:row>
      <xdr:rowOff>9525</xdr:rowOff>
    </xdr:to>
    <xdr:sp macro="" textlink="">
      <xdr:nvSpPr>
        <xdr:cNvPr id="23" name="TextBox 22"/>
        <xdr:cNvSpPr txBox="1"/>
      </xdr:nvSpPr>
      <xdr:spPr>
        <a:xfrm>
          <a:off x="552450" y="134016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Office Space</a:t>
          </a:r>
        </a:p>
      </xdr:txBody>
    </xdr:sp>
    <xdr:clientData/>
  </xdr:twoCellAnchor>
  <xdr:twoCellAnchor>
    <xdr:from>
      <xdr:col>0</xdr:col>
      <xdr:colOff>323850</xdr:colOff>
      <xdr:row>72</xdr:row>
      <xdr:rowOff>28575</xdr:rowOff>
    </xdr:from>
    <xdr:to>
      <xdr:col>0</xdr:col>
      <xdr:colOff>619125</xdr:colOff>
      <xdr:row>73</xdr:row>
      <xdr:rowOff>152400</xdr:rowOff>
    </xdr:to>
    <xdr:sp macro="" textlink="">
      <xdr:nvSpPr>
        <xdr:cNvPr id="24" name="Rectangle 23"/>
        <xdr:cNvSpPr/>
      </xdr:nvSpPr>
      <xdr:spPr>
        <a:xfrm>
          <a:off x="323850" y="13744575"/>
          <a:ext cx="295275" cy="314325"/>
        </a:xfrm>
        <a:prstGeom prst="rect">
          <a:avLst/>
        </a:prstGeom>
        <a:solidFill>
          <a:schemeClr val="accent2">
            <a:lumMod val="60000"/>
            <a:lumOff val="40000"/>
            <a:alpha val="46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314325</xdr:colOff>
      <xdr:row>74</xdr:row>
      <xdr:rowOff>0</xdr:rowOff>
    </xdr:from>
    <xdr:to>
      <xdr:col>0</xdr:col>
      <xdr:colOff>609600</xdr:colOff>
      <xdr:row>75</xdr:row>
      <xdr:rowOff>123825</xdr:rowOff>
    </xdr:to>
    <xdr:sp macro="" textlink="">
      <xdr:nvSpPr>
        <xdr:cNvPr id="25" name="Rectangle 24"/>
        <xdr:cNvSpPr/>
      </xdr:nvSpPr>
      <xdr:spPr>
        <a:xfrm>
          <a:off x="314325" y="14097000"/>
          <a:ext cx="295275" cy="314325"/>
        </a:xfrm>
        <a:prstGeom prst="rect">
          <a:avLst/>
        </a:prstGeom>
        <a:solidFill>
          <a:srgbClr val="FFFF0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571500</xdr:colOff>
      <xdr:row>108</xdr:row>
      <xdr:rowOff>38100</xdr:rowOff>
    </xdr:from>
    <xdr:to>
      <xdr:col>6</xdr:col>
      <xdr:colOff>285750</xdr:colOff>
      <xdr:row>128</xdr:row>
      <xdr:rowOff>19050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70" t="6913" r="12501" b="74242"/>
        <a:stretch/>
      </xdr:blipFill>
      <xdr:spPr>
        <a:xfrm>
          <a:off x="1419225" y="20612100"/>
          <a:ext cx="3952875" cy="37909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266700</xdr:colOff>
      <xdr:row>1</xdr:row>
      <xdr:rowOff>95250</xdr:rowOff>
    </xdr:from>
    <xdr:to>
      <xdr:col>3</xdr:col>
      <xdr:colOff>561975</xdr:colOff>
      <xdr:row>3</xdr:row>
      <xdr:rowOff>28575</xdr:rowOff>
    </xdr:to>
    <xdr:sp macro="" textlink="">
      <xdr:nvSpPr>
        <xdr:cNvPr id="27" name="Rectangle 26"/>
        <xdr:cNvSpPr/>
      </xdr:nvSpPr>
      <xdr:spPr>
        <a:xfrm>
          <a:off x="2809875" y="285750"/>
          <a:ext cx="295275" cy="314325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523875</xdr:colOff>
      <xdr:row>1</xdr:row>
      <xdr:rowOff>114300</xdr:rowOff>
    </xdr:from>
    <xdr:to>
      <xdr:col>5</xdr:col>
      <xdr:colOff>609600</xdr:colOff>
      <xdr:row>3</xdr:row>
      <xdr:rowOff>57150</xdr:rowOff>
    </xdr:to>
    <xdr:sp macro="" textlink="">
      <xdr:nvSpPr>
        <xdr:cNvPr id="28" name="TextBox 27"/>
        <xdr:cNvSpPr txBox="1"/>
      </xdr:nvSpPr>
      <xdr:spPr>
        <a:xfrm>
          <a:off x="3067050" y="3048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Community</a:t>
          </a:r>
          <a:r>
            <a:rPr lang="en-US" sz="1100" baseline="0"/>
            <a:t> Use</a:t>
          </a:r>
          <a:endParaRPr lang="en-US" sz="1100"/>
        </a:p>
      </xdr:txBody>
    </xdr:sp>
    <xdr:clientData/>
  </xdr:twoCellAnchor>
  <xdr:twoCellAnchor>
    <xdr:from>
      <xdr:col>3</xdr:col>
      <xdr:colOff>266700</xdr:colOff>
      <xdr:row>3</xdr:row>
      <xdr:rowOff>85725</xdr:rowOff>
    </xdr:from>
    <xdr:to>
      <xdr:col>3</xdr:col>
      <xdr:colOff>561975</xdr:colOff>
      <xdr:row>5</xdr:row>
      <xdr:rowOff>19050</xdr:rowOff>
    </xdr:to>
    <xdr:sp macro="" textlink="">
      <xdr:nvSpPr>
        <xdr:cNvPr id="29" name="Rectangle 28"/>
        <xdr:cNvSpPr/>
      </xdr:nvSpPr>
      <xdr:spPr>
        <a:xfrm>
          <a:off x="2809875" y="657225"/>
          <a:ext cx="295275" cy="314325"/>
        </a:xfrm>
        <a:prstGeom prst="rect">
          <a:avLst/>
        </a:prstGeom>
        <a:solidFill>
          <a:schemeClr val="bg1">
            <a:alpha val="46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514350</xdr:colOff>
      <xdr:row>3</xdr:row>
      <xdr:rowOff>104775</xdr:rowOff>
    </xdr:from>
    <xdr:to>
      <xdr:col>5</xdr:col>
      <xdr:colOff>600075</xdr:colOff>
      <xdr:row>5</xdr:row>
      <xdr:rowOff>47625</xdr:rowOff>
    </xdr:to>
    <xdr:sp macro="" textlink="">
      <xdr:nvSpPr>
        <xdr:cNvPr id="30" name="TextBox 29"/>
        <xdr:cNvSpPr txBox="1"/>
      </xdr:nvSpPr>
      <xdr:spPr>
        <a:xfrm>
          <a:off x="3057525" y="6762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Non-Revenue</a:t>
          </a:r>
        </a:p>
      </xdr:txBody>
    </xdr:sp>
    <xdr:clientData/>
  </xdr:twoCellAnchor>
  <xdr:twoCellAnchor>
    <xdr:from>
      <xdr:col>3</xdr:col>
      <xdr:colOff>161925</xdr:colOff>
      <xdr:row>68</xdr:row>
      <xdr:rowOff>95250</xdr:rowOff>
    </xdr:from>
    <xdr:to>
      <xdr:col>3</xdr:col>
      <xdr:colOff>457200</xdr:colOff>
      <xdr:row>70</xdr:row>
      <xdr:rowOff>28575</xdr:rowOff>
    </xdr:to>
    <xdr:sp macro="" textlink="">
      <xdr:nvSpPr>
        <xdr:cNvPr id="31" name="Rectangle 30"/>
        <xdr:cNvSpPr/>
      </xdr:nvSpPr>
      <xdr:spPr>
        <a:xfrm>
          <a:off x="2705100" y="13049250"/>
          <a:ext cx="295275" cy="314325"/>
        </a:xfrm>
        <a:prstGeom prst="rect">
          <a:avLst/>
        </a:prstGeom>
        <a:solidFill>
          <a:srgbClr val="7030A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419100</xdr:colOff>
      <xdr:row>68</xdr:row>
      <xdr:rowOff>114300</xdr:rowOff>
    </xdr:from>
    <xdr:to>
      <xdr:col>5</xdr:col>
      <xdr:colOff>504825</xdr:colOff>
      <xdr:row>70</xdr:row>
      <xdr:rowOff>57150</xdr:rowOff>
    </xdr:to>
    <xdr:sp macro="" textlink="">
      <xdr:nvSpPr>
        <xdr:cNvPr id="32" name="TextBox 31"/>
        <xdr:cNvSpPr txBox="1"/>
      </xdr:nvSpPr>
      <xdr:spPr>
        <a:xfrm>
          <a:off x="2962275" y="13068300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Community</a:t>
          </a:r>
          <a:r>
            <a:rPr lang="en-US" sz="1100" baseline="0"/>
            <a:t> Use</a:t>
          </a:r>
          <a:endParaRPr lang="en-US" sz="1100"/>
        </a:p>
      </xdr:txBody>
    </xdr:sp>
    <xdr:clientData/>
  </xdr:twoCellAnchor>
  <xdr:twoCellAnchor>
    <xdr:from>
      <xdr:col>3</xdr:col>
      <xdr:colOff>161925</xdr:colOff>
      <xdr:row>70</xdr:row>
      <xdr:rowOff>85725</xdr:rowOff>
    </xdr:from>
    <xdr:to>
      <xdr:col>3</xdr:col>
      <xdr:colOff>457200</xdr:colOff>
      <xdr:row>72</xdr:row>
      <xdr:rowOff>19050</xdr:rowOff>
    </xdr:to>
    <xdr:sp macro="" textlink="">
      <xdr:nvSpPr>
        <xdr:cNvPr id="33" name="Rectangle 32"/>
        <xdr:cNvSpPr/>
      </xdr:nvSpPr>
      <xdr:spPr>
        <a:xfrm>
          <a:off x="2705100" y="13420725"/>
          <a:ext cx="295275" cy="314325"/>
        </a:xfrm>
        <a:prstGeom prst="rect">
          <a:avLst/>
        </a:prstGeom>
        <a:solidFill>
          <a:schemeClr val="bg1">
            <a:alpha val="46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409575</xdr:colOff>
      <xdr:row>70</xdr:row>
      <xdr:rowOff>104775</xdr:rowOff>
    </xdr:from>
    <xdr:to>
      <xdr:col>5</xdr:col>
      <xdr:colOff>495300</xdr:colOff>
      <xdr:row>72</xdr:row>
      <xdr:rowOff>47625</xdr:rowOff>
    </xdr:to>
    <xdr:sp macro="" textlink="">
      <xdr:nvSpPr>
        <xdr:cNvPr id="34" name="TextBox 33"/>
        <xdr:cNvSpPr txBox="1"/>
      </xdr:nvSpPr>
      <xdr:spPr>
        <a:xfrm>
          <a:off x="2952750" y="13439775"/>
          <a:ext cx="1781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Non-Revenue</a:t>
          </a:r>
        </a:p>
      </xdr:txBody>
    </xdr:sp>
    <xdr:clientData/>
  </xdr:twoCellAnchor>
  <xdr:twoCellAnchor>
    <xdr:from>
      <xdr:col>0</xdr:col>
      <xdr:colOff>219075</xdr:colOff>
      <xdr:row>103</xdr:row>
      <xdr:rowOff>0</xdr:rowOff>
    </xdr:from>
    <xdr:to>
      <xdr:col>3</xdr:col>
      <xdr:colOff>285750</xdr:colOff>
      <xdr:row>105</xdr:row>
      <xdr:rowOff>19050</xdr:rowOff>
    </xdr:to>
    <xdr:sp macro="" textlink="">
      <xdr:nvSpPr>
        <xdr:cNvPr id="35" name="TextBox 34"/>
        <xdr:cNvSpPr txBox="1"/>
      </xdr:nvSpPr>
      <xdr:spPr>
        <a:xfrm>
          <a:off x="219075" y="19621500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GROUND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76200</xdr:colOff>
      <xdr:row>59</xdr:row>
      <xdr:rowOff>95250</xdr:rowOff>
    </xdr:from>
    <xdr:to>
      <xdr:col>3</xdr:col>
      <xdr:colOff>142875</xdr:colOff>
      <xdr:row>61</xdr:row>
      <xdr:rowOff>114300</xdr:rowOff>
    </xdr:to>
    <xdr:sp macro="" textlink="">
      <xdr:nvSpPr>
        <xdr:cNvPr id="36" name="TextBox 35"/>
        <xdr:cNvSpPr txBox="1"/>
      </xdr:nvSpPr>
      <xdr:spPr>
        <a:xfrm>
          <a:off x="76200" y="11334750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 FIRST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85725</xdr:colOff>
      <xdr:row>28</xdr:row>
      <xdr:rowOff>9525</xdr:rowOff>
    </xdr:from>
    <xdr:to>
      <xdr:col>3</xdr:col>
      <xdr:colOff>152400</xdr:colOff>
      <xdr:row>30</xdr:row>
      <xdr:rowOff>28575</xdr:rowOff>
    </xdr:to>
    <xdr:sp macro="" textlink="">
      <xdr:nvSpPr>
        <xdr:cNvPr id="37" name="TextBox 36"/>
        <xdr:cNvSpPr txBox="1"/>
      </xdr:nvSpPr>
      <xdr:spPr>
        <a:xfrm>
          <a:off x="85725" y="5343525"/>
          <a:ext cx="260985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 SECOND FLOOR PLAN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295275</xdr:colOff>
      <xdr:row>35</xdr:row>
      <xdr:rowOff>104776</xdr:rowOff>
    </xdr:from>
    <xdr:to>
      <xdr:col>6</xdr:col>
      <xdr:colOff>323849</xdr:colOff>
      <xdr:row>43</xdr:row>
      <xdr:rowOff>76200</xdr:rowOff>
    </xdr:to>
    <xdr:sp macro="" textlink="">
      <xdr:nvSpPr>
        <xdr:cNvPr id="38" name="Rectangle 37"/>
        <xdr:cNvSpPr/>
      </xdr:nvSpPr>
      <xdr:spPr>
        <a:xfrm>
          <a:off x="4533900" y="6772276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333375</xdr:colOff>
      <xdr:row>51</xdr:row>
      <xdr:rowOff>114301</xdr:rowOff>
    </xdr:from>
    <xdr:to>
      <xdr:col>6</xdr:col>
      <xdr:colOff>361949</xdr:colOff>
      <xdr:row>59</xdr:row>
      <xdr:rowOff>85725</xdr:rowOff>
    </xdr:to>
    <xdr:sp macro="" textlink="">
      <xdr:nvSpPr>
        <xdr:cNvPr id="39" name="Rectangle 38"/>
        <xdr:cNvSpPr/>
      </xdr:nvSpPr>
      <xdr:spPr>
        <a:xfrm>
          <a:off x="4572000" y="9829801"/>
          <a:ext cx="876299" cy="14954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190500</xdr:colOff>
      <xdr:row>48</xdr:row>
      <xdr:rowOff>104776</xdr:rowOff>
    </xdr:from>
    <xdr:to>
      <xdr:col>5</xdr:col>
      <xdr:colOff>333375</xdr:colOff>
      <xdr:row>53</xdr:row>
      <xdr:rowOff>38100</xdr:rowOff>
    </xdr:to>
    <xdr:sp macro="" textlink="">
      <xdr:nvSpPr>
        <xdr:cNvPr id="40" name="Rectangle 39"/>
        <xdr:cNvSpPr/>
      </xdr:nvSpPr>
      <xdr:spPr>
        <a:xfrm>
          <a:off x="2733675" y="9248776"/>
          <a:ext cx="1838325" cy="8858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200025</xdr:colOff>
      <xdr:row>41</xdr:row>
      <xdr:rowOff>123826</xdr:rowOff>
    </xdr:from>
    <xdr:to>
      <xdr:col>5</xdr:col>
      <xdr:colOff>342900</xdr:colOff>
      <xdr:row>46</xdr:row>
      <xdr:rowOff>57150</xdr:rowOff>
    </xdr:to>
    <xdr:sp macro="" textlink="">
      <xdr:nvSpPr>
        <xdr:cNvPr id="41" name="Rectangle 40"/>
        <xdr:cNvSpPr/>
      </xdr:nvSpPr>
      <xdr:spPr>
        <a:xfrm>
          <a:off x="2743200" y="7934326"/>
          <a:ext cx="1838325" cy="885824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590550</xdr:colOff>
      <xdr:row>49</xdr:row>
      <xdr:rowOff>57150</xdr:rowOff>
    </xdr:from>
    <xdr:to>
      <xdr:col>3</xdr:col>
      <xdr:colOff>152400</xdr:colOff>
      <xdr:row>53</xdr:row>
      <xdr:rowOff>38100</xdr:rowOff>
    </xdr:to>
    <xdr:sp macro="" textlink="">
      <xdr:nvSpPr>
        <xdr:cNvPr id="42" name="Rectangle 41"/>
        <xdr:cNvSpPr/>
      </xdr:nvSpPr>
      <xdr:spPr>
        <a:xfrm>
          <a:off x="2286000" y="9391650"/>
          <a:ext cx="409575" cy="742950"/>
        </a:xfrm>
        <a:prstGeom prst="rect">
          <a:avLst/>
        </a:prstGeom>
        <a:solidFill>
          <a:srgbClr val="92D050">
            <a:alpha val="46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9525</xdr:colOff>
      <xdr:row>83</xdr:row>
      <xdr:rowOff>104775</xdr:rowOff>
    </xdr:from>
    <xdr:to>
      <xdr:col>2</xdr:col>
      <xdr:colOff>790575</xdr:colOff>
      <xdr:row>96</xdr:row>
      <xdr:rowOff>152400</xdr:rowOff>
    </xdr:to>
    <xdr:sp macro="" textlink="">
      <xdr:nvSpPr>
        <xdr:cNvPr id="43" name="Rectangle 42"/>
        <xdr:cNvSpPr/>
      </xdr:nvSpPr>
      <xdr:spPr>
        <a:xfrm>
          <a:off x="857250" y="15916275"/>
          <a:ext cx="1628775" cy="2524125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84</xdr:row>
      <xdr:rowOff>104775</xdr:rowOff>
    </xdr:from>
    <xdr:to>
      <xdr:col>5</xdr:col>
      <xdr:colOff>542925</xdr:colOff>
      <xdr:row>89</xdr:row>
      <xdr:rowOff>9524</xdr:rowOff>
    </xdr:to>
    <xdr:sp macro="" textlink="">
      <xdr:nvSpPr>
        <xdr:cNvPr id="44" name="Rectangle 43"/>
        <xdr:cNvSpPr/>
      </xdr:nvSpPr>
      <xdr:spPr>
        <a:xfrm>
          <a:off x="3648075" y="16106775"/>
          <a:ext cx="1133475" cy="857249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552451</xdr:colOff>
      <xdr:row>78</xdr:row>
      <xdr:rowOff>38100</xdr:rowOff>
    </xdr:from>
    <xdr:to>
      <xdr:col>6</xdr:col>
      <xdr:colOff>561976</xdr:colOff>
      <xdr:row>84</xdr:row>
      <xdr:rowOff>104775</xdr:rowOff>
    </xdr:to>
    <xdr:sp macro="" textlink="">
      <xdr:nvSpPr>
        <xdr:cNvPr id="45" name="Rectangle 44"/>
        <xdr:cNvSpPr/>
      </xdr:nvSpPr>
      <xdr:spPr>
        <a:xfrm>
          <a:off x="4791076" y="14897100"/>
          <a:ext cx="857250" cy="1209675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533401</xdr:colOff>
      <xdr:row>94</xdr:row>
      <xdr:rowOff>47625</xdr:rowOff>
    </xdr:from>
    <xdr:to>
      <xdr:col>6</xdr:col>
      <xdr:colOff>542926</xdr:colOff>
      <xdr:row>102</xdr:row>
      <xdr:rowOff>38100</xdr:rowOff>
    </xdr:to>
    <xdr:sp macro="" textlink="">
      <xdr:nvSpPr>
        <xdr:cNvPr id="46" name="Rectangle 45"/>
        <xdr:cNvSpPr/>
      </xdr:nvSpPr>
      <xdr:spPr>
        <a:xfrm>
          <a:off x="4772026" y="17954625"/>
          <a:ext cx="857250" cy="1514475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133350</xdr:colOff>
      <xdr:row>91</xdr:row>
      <xdr:rowOff>76200</xdr:rowOff>
    </xdr:from>
    <xdr:to>
      <xdr:col>5</xdr:col>
      <xdr:colOff>523875</xdr:colOff>
      <xdr:row>95</xdr:row>
      <xdr:rowOff>171449</xdr:rowOff>
    </xdr:to>
    <xdr:sp macro="" textlink="">
      <xdr:nvSpPr>
        <xdr:cNvPr id="47" name="Rectangle 46"/>
        <xdr:cNvSpPr/>
      </xdr:nvSpPr>
      <xdr:spPr>
        <a:xfrm>
          <a:off x="4371975" y="17411700"/>
          <a:ext cx="390525" cy="857249"/>
        </a:xfrm>
        <a:prstGeom prst="rect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tabSelected="1" workbookViewId="0"/>
  </sheetViews>
  <sheetFormatPr defaultRowHeight="15" x14ac:dyDescent="0.25"/>
  <cols>
    <col min="1" max="2" width="14.7109375" customWidth="1"/>
    <col min="3" max="24" width="12.7109375" customWidth="1"/>
  </cols>
  <sheetData>
    <row r="1" spans="1:18" x14ac:dyDescent="0.25">
      <c r="C1" s="43" t="s">
        <v>1</v>
      </c>
      <c r="D1" s="43"/>
      <c r="E1" s="43"/>
      <c r="F1" s="43"/>
      <c r="I1" t="s">
        <v>34</v>
      </c>
      <c r="R1" s="3"/>
    </row>
    <row r="2" spans="1:18" x14ac:dyDescent="0.25">
      <c r="I2" s="3"/>
    </row>
    <row r="3" spans="1:18" x14ac:dyDescent="0.25">
      <c r="D3" s="4" t="s">
        <v>86</v>
      </c>
      <c r="E3" s="26">
        <f>I22</f>
        <v>8.2040677040677039</v>
      </c>
      <c r="F3" t="s">
        <v>83</v>
      </c>
      <c r="G3" s="1"/>
      <c r="J3" s="27"/>
      <c r="L3" s="30" t="s">
        <v>84</v>
      </c>
      <c r="M3" s="6">
        <f>SUM('Expense Forecast'!B17:E17)</f>
        <v>27683</v>
      </c>
    </row>
    <row r="4" spans="1:18" x14ac:dyDescent="0.25">
      <c r="D4" s="4" t="s">
        <v>87</v>
      </c>
      <c r="E4" s="10">
        <f>15+1.75</f>
        <v>16.75</v>
      </c>
      <c r="F4" t="s">
        <v>75</v>
      </c>
      <c r="G4" s="23"/>
      <c r="L4" s="30" t="s">
        <v>85</v>
      </c>
      <c r="M4" s="6">
        <f>M3*1.2</f>
        <v>33219.599999999999</v>
      </c>
    </row>
    <row r="5" spans="1:18" x14ac:dyDescent="0.25">
      <c r="D5" s="4" t="s">
        <v>54</v>
      </c>
      <c r="E5" s="10">
        <f>14+1.75</f>
        <v>15.75</v>
      </c>
      <c r="F5" t="s">
        <v>75</v>
      </c>
      <c r="G5" s="1"/>
      <c r="H5" s="23"/>
      <c r="L5" s="4" t="s">
        <v>74</v>
      </c>
      <c r="M5" s="7">
        <f>J68</f>
        <v>18717</v>
      </c>
    </row>
    <row r="6" spans="1:18" x14ac:dyDescent="0.25">
      <c r="D6" s="4" t="s">
        <v>72</v>
      </c>
      <c r="E6" s="10">
        <f>16+1.75</f>
        <v>17.75</v>
      </c>
      <c r="F6" t="s">
        <v>75</v>
      </c>
      <c r="G6" s="1"/>
      <c r="H6" s="23"/>
      <c r="L6" s="4" t="s">
        <v>76</v>
      </c>
      <c r="M6" s="32">
        <f>M4/M5</f>
        <v>1.7748357108510979</v>
      </c>
    </row>
    <row r="7" spans="1:18" x14ac:dyDescent="0.25">
      <c r="D7" s="4" t="s">
        <v>55</v>
      </c>
      <c r="E7" s="10">
        <f>5+1.75</f>
        <v>6.75</v>
      </c>
      <c r="F7" t="s">
        <v>75</v>
      </c>
      <c r="H7" s="23"/>
    </row>
    <row r="8" spans="1:18" x14ac:dyDescent="0.25">
      <c r="K8" s="1" t="s">
        <v>17</v>
      </c>
    </row>
    <row r="9" spans="1:18" x14ac:dyDescent="0.25">
      <c r="C9" s="43" t="s">
        <v>44</v>
      </c>
      <c r="D9" s="43"/>
      <c r="E9" s="43" t="s">
        <v>45</v>
      </c>
      <c r="F9" s="43"/>
      <c r="G9" s="43" t="s">
        <v>46</v>
      </c>
      <c r="H9" s="43"/>
      <c r="I9" s="1"/>
      <c r="J9" s="1"/>
      <c r="K9" s="1" t="s">
        <v>10</v>
      </c>
    </row>
    <row r="10" spans="1:18" x14ac:dyDescent="0.25">
      <c r="C10" s="1"/>
      <c r="D10" s="1" t="s">
        <v>7</v>
      </c>
      <c r="E10" s="1"/>
      <c r="F10" s="1" t="s">
        <v>7</v>
      </c>
      <c r="G10" s="1"/>
      <c r="H10" s="1" t="s">
        <v>7</v>
      </c>
      <c r="I10" s="1" t="s">
        <v>10</v>
      </c>
      <c r="J10" s="29" t="s">
        <v>36</v>
      </c>
      <c r="K10" s="1" t="s">
        <v>3</v>
      </c>
      <c r="L10" s="1" t="s">
        <v>10</v>
      </c>
      <c r="M10" s="24" t="s">
        <v>67</v>
      </c>
    </row>
    <row r="11" spans="1:18" x14ac:dyDescent="0.25">
      <c r="C11" s="1" t="s">
        <v>4</v>
      </c>
      <c r="D11" s="1" t="s">
        <v>18</v>
      </c>
      <c r="E11" s="1" t="s">
        <v>4</v>
      </c>
      <c r="F11" s="1" t="s">
        <v>18</v>
      </c>
      <c r="G11" s="1" t="s">
        <v>4</v>
      </c>
      <c r="H11" s="1" t="s">
        <v>18</v>
      </c>
      <c r="I11" s="1" t="s">
        <v>9</v>
      </c>
      <c r="J11" s="29" t="s">
        <v>77</v>
      </c>
      <c r="K11" s="1" t="s">
        <v>18</v>
      </c>
      <c r="L11" s="1" t="s">
        <v>0</v>
      </c>
      <c r="M11" s="24" t="s">
        <v>0</v>
      </c>
    </row>
    <row r="12" spans="1:18" x14ac:dyDescent="0.25">
      <c r="C12" s="1" t="s">
        <v>6</v>
      </c>
      <c r="D12" s="1" t="s">
        <v>8</v>
      </c>
      <c r="E12" s="1" t="s">
        <v>6</v>
      </c>
      <c r="F12" s="1" t="s">
        <v>8</v>
      </c>
      <c r="G12" s="1" t="s">
        <v>6</v>
      </c>
      <c r="H12" s="1" t="s">
        <v>8</v>
      </c>
      <c r="I12" s="1" t="s">
        <v>43</v>
      </c>
      <c r="J12" s="1" t="s">
        <v>6</v>
      </c>
      <c r="K12" s="1" t="s">
        <v>43</v>
      </c>
    </row>
    <row r="13" spans="1:18" x14ac:dyDescent="0.25">
      <c r="A13" s="43" t="s">
        <v>66</v>
      </c>
      <c r="B13" s="43"/>
    </row>
    <row r="14" spans="1:18" x14ac:dyDescent="0.25">
      <c r="A14" s="13"/>
      <c r="B14" s="14" t="s">
        <v>91</v>
      </c>
      <c r="C14" s="7">
        <v>7000</v>
      </c>
      <c r="D14" s="21">
        <v>100</v>
      </c>
      <c r="E14" s="24">
        <f>754+338+735+220+701+358+753</f>
        <v>3859</v>
      </c>
      <c r="F14" s="21">
        <v>100</v>
      </c>
      <c r="G14" s="24">
        <f>572+534+689+695+1198+326+203+923</f>
        <v>5140</v>
      </c>
      <c r="H14" s="21">
        <v>100</v>
      </c>
      <c r="I14" s="40">
        <f>'Expense Forecast'!R16/J14</f>
        <v>2.5975998499906243</v>
      </c>
      <c r="J14" s="7">
        <f>C14+E14+G14</f>
        <v>15999</v>
      </c>
      <c r="K14" s="32">
        <f>L14/J14</f>
        <v>2.5975998499906243</v>
      </c>
      <c r="L14" s="6">
        <f>(C14*D14/100+E14*F14/100+G14*H14/100)*I14</f>
        <v>41559</v>
      </c>
      <c r="M14" s="6">
        <f>'Expense Forecast'!R16</f>
        <v>41559</v>
      </c>
      <c r="O14" s="6"/>
    </row>
    <row r="15" spans="1:18" x14ac:dyDescent="0.25">
      <c r="A15" s="11"/>
      <c r="B15" s="12" t="s">
        <v>92</v>
      </c>
      <c r="C15" s="24"/>
      <c r="D15" s="21"/>
      <c r="E15" s="24"/>
      <c r="F15" s="21"/>
      <c r="G15" s="7"/>
      <c r="H15" s="21"/>
      <c r="I15" s="2"/>
      <c r="J15" s="7"/>
      <c r="K15" s="31"/>
      <c r="L15" s="6"/>
    </row>
    <row r="16" spans="1:18" x14ac:dyDescent="0.25">
      <c r="A16" s="15"/>
      <c r="B16" s="16" t="s">
        <v>11</v>
      </c>
      <c r="C16" s="24"/>
      <c r="D16" s="21"/>
      <c r="E16" s="7"/>
      <c r="F16" s="21"/>
      <c r="G16" s="24"/>
      <c r="H16" s="21"/>
      <c r="I16" s="2"/>
      <c r="J16" s="7"/>
      <c r="K16" s="2"/>
      <c r="L16" s="6"/>
    </row>
    <row r="17" spans="1:14" x14ac:dyDescent="0.25">
      <c r="A17" s="17"/>
      <c r="B17" s="18" t="s">
        <v>73</v>
      </c>
      <c r="C17" s="24"/>
      <c r="D17" s="21"/>
      <c r="E17" s="24"/>
      <c r="F17" s="21"/>
      <c r="G17" s="7"/>
      <c r="H17" s="21"/>
      <c r="I17" s="2"/>
      <c r="J17" s="7"/>
      <c r="K17" s="2"/>
      <c r="L17" s="6"/>
    </row>
    <row r="18" spans="1:14" x14ac:dyDescent="0.25">
      <c r="A18" s="19"/>
      <c r="B18" s="20" t="s">
        <v>19</v>
      </c>
      <c r="C18" s="24"/>
      <c r="D18" s="21"/>
      <c r="E18" s="7"/>
      <c r="F18" s="21"/>
      <c r="G18" s="7"/>
      <c r="H18" s="21"/>
      <c r="I18" s="2"/>
      <c r="J18" s="7"/>
      <c r="K18" s="2"/>
      <c r="L18" s="6"/>
    </row>
    <row r="19" spans="1:14" x14ac:dyDescent="0.25">
      <c r="B19" s="4" t="s">
        <v>12</v>
      </c>
      <c r="C19" s="9">
        <f>SUM(C14:C18)</f>
        <v>7000</v>
      </c>
      <c r="D19" s="22">
        <f>(C14*D14+C15*D15+C16*D16+C17*D17+C18*D18)/C19</f>
        <v>100</v>
      </c>
      <c r="E19" s="9">
        <f>SUM(E14:E18)</f>
        <v>3859</v>
      </c>
      <c r="F19" s="22">
        <f>(E14*F14+E15*F15+E16*F16+E17*F17+E18*F18)/E19</f>
        <v>100</v>
      </c>
      <c r="G19" s="9">
        <f>SUM(G14:G18)</f>
        <v>5140</v>
      </c>
      <c r="H19" s="22">
        <f>(G14*H14+G15*H15+G16*H16+G17*H17+G18*H18)/G19</f>
        <v>100</v>
      </c>
      <c r="I19" s="38">
        <f>L19/J19</f>
        <v>2.5975998499906243</v>
      </c>
      <c r="J19" s="9">
        <f>SUM(J14:J18)</f>
        <v>15999</v>
      </c>
      <c r="K19" s="38">
        <f>L19/J19</f>
        <v>2.5975998499906243</v>
      </c>
      <c r="L19" s="8">
        <f>SUM(L14:L18)</f>
        <v>41559</v>
      </c>
    </row>
    <row r="20" spans="1:14" x14ac:dyDescent="0.25">
      <c r="C20" s="24"/>
      <c r="D20" s="24"/>
      <c r="E20" s="24"/>
      <c r="F20" s="24"/>
      <c r="G20" s="24"/>
      <c r="H20" s="24"/>
      <c r="I20" s="24"/>
      <c r="J20" s="24"/>
      <c r="K20" s="24"/>
    </row>
    <row r="21" spans="1:14" x14ac:dyDescent="0.25">
      <c r="A21" s="43" t="s">
        <v>65</v>
      </c>
      <c r="B21" s="43"/>
    </row>
    <row r="22" spans="1:14" x14ac:dyDescent="0.25">
      <c r="A22" s="13"/>
      <c r="B22" s="14" t="s">
        <v>91</v>
      </c>
      <c r="C22" s="7">
        <v>7000</v>
      </c>
      <c r="D22" s="21">
        <v>100</v>
      </c>
      <c r="E22" s="24"/>
      <c r="F22" s="21"/>
      <c r="G22" s="24">
        <v>326</v>
      </c>
      <c r="H22" s="21">
        <v>100</v>
      </c>
      <c r="I22" s="40">
        <f>'Expense Forecast'!R17/'Revenue Forecast'!J22</f>
        <v>8.2040677040677039</v>
      </c>
      <c r="J22" s="7">
        <f>C22+E22+G22</f>
        <v>7326</v>
      </c>
      <c r="K22" s="39">
        <f>L22/J22</f>
        <v>8.2040677040677039</v>
      </c>
      <c r="L22" s="6">
        <f>(C22*D22/100+E22*F22/100+G22*H22/100)*I22</f>
        <v>60103</v>
      </c>
      <c r="M22" s="6">
        <f>'Expense Forecast'!R17</f>
        <v>60103</v>
      </c>
    </row>
    <row r="23" spans="1:14" x14ac:dyDescent="0.25">
      <c r="A23" s="11"/>
      <c r="B23" s="12" t="s">
        <v>92</v>
      </c>
      <c r="C23" s="24"/>
      <c r="D23" s="21"/>
      <c r="E23" s="24"/>
      <c r="F23" s="21"/>
      <c r="G23" s="7"/>
      <c r="H23" s="21"/>
      <c r="I23" s="2"/>
      <c r="J23" s="7"/>
      <c r="K23" s="2"/>
      <c r="L23" s="6"/>
    </row>
    <row r="24" spans="1:14" x14ac:dyDescent="0.25">
      <c r="A24" s="15"/>
      <c r="B24" s="16" t="s">
        <v>11</v>
      </c>
      <c r="C24" s="24"/>
      <c r="D24" s="21"/>
      <c r="E24" s="7"/>
      <c r="F24" s="21"/>
      <c r="G24" s="24"/>
      <c r="H24" s="21"/>
      <c r="I24" s="2"/>
      <c r="J24" s="7"/>
      <c r="K24" s="2"/>
      <c r="L24" s="6"/>
    </row>
    <row r="25" spans="1:14" x14ac:dyDescent="0.25">
      <c r="A25" s="17"/>
      <c r="B25" s="18" t="s">
        <v>73</v>
      </c>
      <c r="C25" s="24"/>
      <c r="D25" s="21"/>
      <c r="E25" s="24"/>
      <c r="F25" s="21"/>
      <c r="G25" s="7"/>
      <c r="H25" s="21"/>
      <c r="I25" s="2"/>
      <c r="J25" s="7"/>
      <c r="K25" s="2"/>
      <c r="L25" s="6"/>
    </row>
    <row r="26" spans="1:14" x14ac:dyDescent="0.25">
      <c r="A26" s="19"/>
      <c r="B26" s="20" t="s">
        <v>19</v>
      </c>
      <c r="C26" s="24"/>
      <c r="D26" s="21"/>
      <c r="E26" s="7"/>
      <c r="F26" s="21"/>
      <c r="G26" s="7"/>
      <c r="H26" s="21"/>
      <c r="I26" s="2"/>
      <c r="J26" s="7"/>
      <c r="K26" s="2"/>
      <c r="L26" s="6"/>
    </row>
    <row r="27" spans="1:14" x14ac:dyDescent="0.25">
      <c r="B27" s="4" t="s">
        <v>12</v>
      </c>
      <c r="C27" s="9">
        <f>SUM(C22:C26)</f>
        <v>7000</v>
      </c>
      <c r="D27" s="22">
        <f>(C22*D22+C23*D23+C24*D24+C25*D25+C26*D26)/C27</f>
        <v>100</v>
      </c>
      <c r="E27" s="9"/>
      <c r="F27" s="22"/>
      <c r="G27" s="9">
        <f>SUM(G22:G26)</f>
        <v>326</v>
      </c>
      <c r="H27" s="22">
        <f>(G22*H22+G23*H23+G24*H24+G25*H25+G26*H26)/G27</f>
        <v>100</v>
      </c>
      <c r="I27" s="38">
        <f>L27/J27</f>
        <v>8.2040677040677039</v>
      </c>
      <c r="J27" s="9">
        <f>SUM(J22:J26)</f>
        <v>7326</v>
      </c>
      <c r="K27" s="38">
        <f>L27/J27</f>
        <v>8.2040677040677039</v>
      </c>
      <c r="L27" s="8">
        <f>SUM(L22:L26)</f>
        <v>60103</v>
      </c>
    </row>
    <row r="28" spans="1:14" x14ac:dyDescent="0.25">
      <c r="B28" s="4"/>
      <c r="C28" s="33"/>
      <c r="D28" s="34"/>
      <c r="E28" s="33"/>
      <c r="F28" s="34"/>
      <c r="G28" s="33"/>
      <c r="H28" s="34"/>
      <c r="I28" s="35"/>
      <c r="J28" s="33"/>
      <c r="K28" s="36"/>
      <c r="L28" s="37"/>
    </row>
    <row r="30" spans="1:14" x14ac:dyDescent="0.25">
      <c r="A30" s="43" t="s">
        <v>5</v>
      </c>
      <c r="B30" s="43"/>
    </row>
    <row r="31" spans="1:14" x14ac:dyDescent="0.25">
      <c r="A31" s="13"/>
      <c r="B31" s="14" t="s">
        <v>91</v>
      </c>
      <c r="C31" s="7">
        <v>7000</v>
      </c>
      <c r="D31" s="21">
        <v>100</v>
      </c>
      <c r="E31" s="1"/>
      <c r="F31" s="21"/>
      <c r="G31" s="1">
        <v>326</v>
      </c>
      <c r="H31" s="21">
        <v>100</v>
      </c>
      <c r="I31" s="39">
        <f>E$3+1*(I$63-E$3)/5*0</f>
        <v>8.2040677040677039</v>
      </c>
      <c r="J31" s="7">
        <f>C31+E31+G31</f>
        <v>7326</v>
      </c>
      <c r="K31" s="39">
        <f>L31/J31</f>
        <v>8.2040677040677039</v>
      </c>
      <c r="L31" s="6">
        <f>(C31*D31/100+E31*F31/100+G31*H31/100)*I31</f>
        <v>60103</v>
      </c>
      <c r="N31" s="2"/>
    </row>
    <row r="32" spans="1:14" x14ac:dyDescent="0.25">
      <c r="A32" s="11"/>
      <c r="B32" s="12" t="s">
        <v>92</v>
      </c>
      <c r="C32" s="1"/>
      <c r="D32" s="21"/>
      <c r="E32" s="1"/>
      <c r="F32" s="21"/>
      <c r="G32" s="7">
        <f>400+689+695+923</f>
        <v>2707</v>
      </c>
      <c r="H32" s="21">
        <v>0</v>
      </c>
      <c r="I32" s="41">
        <f>E$4</f>
        <v>16.75</v>
      </c>
      <c r="J32" s="7">
        <f>C32+E32+G32</f>
        <v>2707</v>
      </c>
      <c r="K32" s="39"/>
      <c r="L32" s="6"/>
    </row>
    <row r="33" spans="1:12" x14ac:dyDescent="0.25">
      <c r="A33" s="15"/>
      <c r="B33" s="16" t="s">
        <v>11</v>
      </c>
      <c r="C33" s="1"/>
      <c r="D33" s="21"/>
      <c r="E33" s="7">
        <f>735+701+358+753</f>
        <v>2547</v>
      </c>
      <c r="F33" s="21">
        <v>10</v>
      </c>
      <c r="G33" s="1"/>
      <c r="H33" s="21"/>
      <c r="I33" s="41">
        <f>E$5</f>
        <v>15.75</v>
      </c>
      <c r="J33" s="7">
        <f>C33+E33+G33</f>
        <v>2547</v>
      </c>
      <c r="K33" s="39">
        <f t="shared" ref="K33:K35" si="0">L33/J33</f>
        <v>1.575</v>
      </c>
      <c r="L33" s="6">
        <f>(C33*D33/100+E33*F33/100+G33*H33/100)*I33</f>
        <v>4011.5249999999996</v>
      </c>
    </row>
    <row r="34" spans="1:12" x14ac:dyDescent="0.25">
      <c r="A34" s="17"/>
      <c r="B34" s="18" t="s">
        <v>73</v>
      </c>
      <c r="C34" s="1"/>
      <c r="D34" s="21"/>
      <c r="E34" s="1"/>
      <c r="F34" s="21"/>
      <c r="G34" s="7">
        <f>1198+572+534</f>
        <v>2304</v>
      </c>
      <c r="H34" s="21">
        <v>0</v>
      </c>
      <c r="I34" s="41">
        <f>E$6</f>
        <v>17.75</v>
      </c>
      <c r="J34" s="7">
        <f>C34+E34+G34</f>
        <v>2304</v>
      </c>
      <c r="K34" s="39"/>
      <c r="L34" s="6"/>
    </row>
    <row r="35" spans="1:12" x14ac:dyDescent="0.25">
      <c r="A35" s="19"/>
      <c r="B35" s="20" t="s">
        <v>19</v>
      </c>
      <c r="C35" s="1"/>
      <c r="D35" s="21"/>
      <c r="E35" s="7">
        <f>2741+754+338</f>
        <v>3833</v>
      </c>
      <c r="F35" s="21">
        <v>25</v>
      </c>
      <c r="G35" s="7"/>
      <c r="H35" s="21"/>
      <c r="I35" s="41">
        <f>E$7</f>
        <v>6.75</v>
      </c>
      <c r="J35" s="7">
        <f>C35+E35+G35</f>
        <v>3833</v>
      </c>
      <c r="K35" s="39">
        <f t="shared" si="0"/>
        <v>1.6875</v>
      </c>
      <c r="L35" s="6">
        <f>(C35*D35/100+E35*F35/100+G35*H35/100)*I35</f>
        <v>6468.1875</v>
      </c>
    </row>
    <row r="36" spans="1:12" x14ac:dyDescent="0.25">
      <c r="B36" s="4" t="s">
        <v>12</v>
      </c>
      <c r="C36" s="9">
        <f>SUM(C31:C35)</f>
        <v>7000</v>
      </c>
      <c r="D36" s="22">
        <f>(C31*D31+C32*D32+C33*D33+C34*D34+C35*D35)/C36</f>
        <v>100</v>
      </c>
      <c r="E36" s="9">
        <f>SUM(E31:E35)</f>
        <v>6380</v>
      </c>
      <c r="F36" s="22">
        <f>(E31*F31+E32*F32+E33*F33+E34*F34+E35*F35)/E36</f>
        <v>19.011755485893417</v>
      </c>
      <c r="G36" s="9">
        <f>SUM(G31:G35)</f>
        <v>5337</v>
      </c>
      <c r="H36" s="22">
        <f>(G31*H31+G32*H32+G33*H33+G34*H34+G35*H35)/G36</f>
        <v>6.108300543376429</v>
      </c>
      <c r="I36" s="38">
        <f>L36/J36</f>
        <v>3.7710483784794571</v>
      </c>
      <c r="J36" s="9">
        <f>SUM(J31:J35)</f>
        <v>18717</v>
      </c>
      <c r="K36" s="38">
        <f>L36/J36</f>
        <v>3.7710483784794571</v>
      </c>
      <c r="L36" s="8">
        <f>SUM(L31:L35)</f>
        <v>70582.712499999994</v>
      </c>
    </row>
    <row r="38" spans="1:12" x14ac:dyDescent="0.25">
      <c r="A38" s="43" t="s">
        <v>13</v>
      </c>
      <c r="B38" s="43"/>
      <c r="I38" s="39"/>
    </row>
    <row r="39" spans="1:12" x14ac:dyDescent="0.25">
      <c r="A39" s="13"/>
      <c r="B39" s="14" t="s">
        <v>91</v>
      </c>
      <c r="C39" s="7">
        <v>7000</v>
      </c>
      <c r="D39" s="21">
        <v>100</v>
      </c>
      <c r="E39" s="29"/>
      <c r="F39" s="21"/>
      <c r="G39" s="23">
        <v>326</v>
      </c>
      <c r="H39" s="21">
        <v>100</v>
      </c>
      <c r="I39" s="39">
        <f>E$3+2*(I$63-E$3)/5*0</f>
        <v>8.2040677040677039</v>
      </c>
      <c r="J39" s="7">
        <f>C39+E39+G39</f>
        <v>7326</v>
      </c>
      <c r="K39" s="39">
        <f>L39/J39</f>
        <v>8.2040677040677039</v>
      </c>
      <c r="L39" s="6">
        <f>(C39*D39/100+E39*F39/100+G39*H39/100)*I39</f>
        <v>60103</v>
      </c>
    </row>
    <row r="40" spans="1:12" x14ac:dyDescent="0.25">
      <c r="A40" s="11"/>
      <c r="B40" s="12" t="s">
        <v>92</v>
      </c>
      <c r="C40" s="1"/>
      <c r="D40" s="21"/>
      <c r="E40" s="29"/>
      <c r="F40" s="21"/>
      <c r="G40" s="7">
        <f>400+689+695+923</f>
        <v>2707</v>
      </c>
      <c r="H40" s="21">
        <v>0</v>
      </c>
      <c r="I40" s="41">
        <f>E$4</f>
        <v>16.75</v>
      </c>
      <c r="J40" s="7">
        <f>C40+E40+G40</f>
        <v>2707</v>
      </c>
      <c r="K40" s="39">
        <f t="shared" ref="K40:K43" si="1">L40/J40</f>
        <v>0</v>
      </c>
      <c r="L40" s="6">
        <f>(C40*D40/100+E40*F40/100+G40*H40/100)*I40</f>
        <v>0</v>
      </c>
    </row>
    <row r="41" spans="1:12" x14ac:dyDescent="0.25">
      <c r="A41" s="15"/>
      <c r="B41" s="16" t="s">
        <v>11</v>
      </c>
      <c r="C41" s="1"/>
      <c r="D41" s="21"/>
      <c r="E41" s="7">
        <f>735+701+358+753</f>
        <v>2547</v>
      </c>
      <c r="F41" s="21">
        <v>25</v>
      </c>
      <c r="G41" s="23"/>
      <c r="H41" s="21"/>
      <c r="I41" s="41">
        <f>E$5</f>
        <v>15.75</v>
      </c>
      <c r="J41" s="7">
        <f>C41+E41+G41</f>
        <v>2547</v>
      </c>
      <c r="K41" s="39">
        <f t="shared" si="1"/>
        <v>3.9375</v>
      </c>
      <c r="L41" s="6">
        <f>(C41*D41/100+E41*F41/100+G41*H41/100)*I41</f>
        <v>10028.8125</v>
      </c>
    </row>
    <row r="42" spans="1:12" x14ac:dyDescent="0.25">
      <c r="A42" s="17"/>
      <c r="B42" s="18" t="s">
        <v>73</v>
      </c>
      <c r="C42" s="1"/>
      <c r="D42" s="21"/>
      <c r="E42" s="29"/>
      <c r="F42" s="21"/>
      <c r="G42" s="7">
        <f>1198+572+534</f>
        <v>2304</v>
      </c>
      <c r="H42" s="21">
        <v>0</v>
      </c>
      <c r="I42" s="41">
        <f>E$6</f>
        <v>17.75</v>
      </c>
      <c r="J42" s="7">
        <f>C42+E42+G42</f>
        <v>2304</v>
      </c>
      <c r="K42" s="39">
        <f t="shared" si="1"/>
        <v>0</v>
      </c>
      <c r="L42" s="6">
        <f>(C42*D42/100+E42*F42/100+G42*H42/100)*I42</f>
        <v>0</v>
      </c>
    </row>
    <row r="43" spans="1:12" x14ac:dyDescent="0.25">
      <c r="A43" s="19"/>
      <c r="B43" s="20" t="s">
        <v>19</v>
      </c>
      <c r="C43" s="1"/>
      <c r="D43" s="21"/>
      <c r="E43" s="7">
        <f>2741+754+338</f>
        <v>3833</v>
      </c>
      <c r="F43" s="21">
        <v>25</v>
      </c>
      <c r="G43" s="7"/>
      <c r="H43" s="21"/>
      <c r="I43" s="41">
        <f>E$7</f>
        <v>6.75</v>
      </c>
      <c r="J43" s="7">
        <f>C43+E43+G43</f>
        <v>3833</v>
      </c>
      <c r="K43" s="39">
        <f t="shared" si="1"/>
        <v>1.6875</v>
      </c>
      <c r="L43" s="6">
        <f>(C43*D43/100+E43*F43/100+G43*H43/100)*I43</f>
        <v>6468.1875</v>
      </c>
    </row>
    <row r="44" spans="1:12" x14ac:dyDescent="0.25">
      <c r="B44" s="4" t="s">
        <v>12</v>
      </c>
      <c r="C44" s="9">
        <f>SUM(C39:C43)</f>
        <v>7000</v>
      </c>
      <c r="D44" s="22">
        <f>(C39*D39+C40*D40+C41*D41+C42*D42+C43*D43)/C44</f>
        <v>100</v>
      </c>
      <c r="E44" s="9">
        <f>SUM(E39:E43)</f>
        <v>6380</v>
      </c>
      <c r="F44" s="22">
        <f>(E39*F39+E40*F40+E41*F41+E42*F42+E43*F43)/E44</f>
        <v>25</v>
      </c>
      <c r="G44" s="9">
        <f>SUM(G39:G43)</f>
        <v>5337</v>
      </c>
      <c r="H44" s="22">
        <f>(G39*H39+G40*H40+G41*H41+G42*H42+G43*H43)/G44</f>
        <v>6.108300543376429</v>
      </c>
      <c r="I44" s="38">
        <f>L44/J44</f>
        <v>4.0925361970401237</v>
      </c>
      <c r="J44" s="9">
        <f>SUM(J39:J43)</f>
        <v>18717</v>
      </c>
      <c r="K44" s="38">
        <f>L44/J44</f>
        <v>4.0925361970401237</v>
      </c>
      <c r="L44" s="8">
        <f>SUM(L39:L43)</f>
        <v>76600</v>
      </c>
    </row>
    <row r="46" spans="1:12" x14ac:dyDescent="0.25">
      <c r="A46" s="43" t="s">
        <v>14</v>
      </c>
      <c r="B46" s="43"/>
    </row>
    <row r="47" spans="1:12" x14ac:dyDescent="0.25">
      <c r="A47" s="13"/>
      <c r="B47" s="14" t="s">
        <v>91</v>
      </c>
      <c r="C47" s="7">
        <v>7000</v>
      </c>
      <c r="D47" s="21">
        <v>100</v>
      </c>
      <c r="E47" s="23"/>
      <c r="F47" s="21"/>
      <c r="G47" s="23">
        <v>326</v>
      </c>
      <c r="H47" s="21">
        <v>100</v>
      </c>
      <c r="I47" s="39">
        <f>E$3+3*(I$63-E$3)/5*0</f>
        <v>8.2040677040677039</v>
      </c>
      <c r="J47" s="7">
        <f>C47+E47+G47</f>
        <v>7326</v>
      </c>
      <c r="K47" s="39">
        <f>L47/J47</f>
        <v>8.2040677040677039</v>
      </c>
      <c r="L47" s="6">
        <f>(C47*D47/100+E47*F47/100+G47*H47/100)*I47</f>
        <v>60103</v>
      </c>
    </row>
    <row r="48" spans="1:12" x14ac:dyDescent="0.25">
      <c r="A48" s="11"/>
      <c r="B48" s="12" t="s">
        <v>92</v>
      </c>
      <c r="C48" s="1"/>
      <c r="D48" s="21"/>
      <c r="E48" s="23"/>
      <c r="F48" s="21"/>
      <c r="G48" s="7">
        <f>400+689+695+923</f>
        <v>2707</v>
      </c>
      <c r="H48" s="21">
        <v>0</v>
      </c>
      <c r="I48" s="41">
        <f>E$4</f>
        <v>16.75</v>
      </c>
      <c r="J48" s="7">
        <f>C48+E48+G48</f>
        <v>2707</v>
      </c>
      <c r="K48" s="39">
        <f t="shared" ref="K48:K51" si="2">L48/J48</f>
        <v>0</v>
      </c>
      <c r="L48" s="6">
        <f>(C48*D48/100+E48*F48/100+G48*H48/100)*I48</f>
        <v>0</v>
      </c>
    </row>
    <row r="49" spans="1:12" x14ac:dyDescent="0.25">
      <c r="A49" s="15"/>
      <c r="B49" s="16" t="s">
        <v>11</v>
      </c>
      <c r="C49" s="1"/>
      <c r="D49" s="21"/>
      <c r="E49" s="7">
        <f>735+701+358+753</f>
        <v>2547</v>
      </c>
      <c r="F49" s="21">
        <v>50</v>
      </c>
      <c r="G49" s="23"/>
      <c r="H49" s="21"/>
      <c r="I49" s="41">
        <f>E$5</f>
        <v>15.75</v>
      </c>
      <c r="J49" s="7">
        <f>C49+E49+G49</f>
        <v>2547</v>
      </c>
      <c r="K49" s="39">
        <f t="shared" si="2"/>
        <v>7.875</v>
      </c>
      <c r="L49" s="6">
        <f>(C49*D49/100+E49*F49/100+G49*H49/100)*I49</f>
        <v>20057.625</v>
      </c>
    </row>
    <row r="50" spans="1:12" x14ac:dyDescent="0.25">
      <c r="A50" s="17"/>
      <c r="B50" s="18" t="s">
        <v>73</v>
      </c>
      <c r="C50" s="1"/>
      <c r="D50" s="21"/>
      <c r="E50" s="23"/>
      <c r="F50" s="21"/>
      <c r="G50" s="7">
        <f>1198+572+534</f>
        <v>2304</v>
      </c>
      <c r="H50" s="21">
        <v>0</v>
      </c>
      <c r="I50" s="41">
        <f>E$6</f>
        <v>17.75</v>
      </c>
      <c r="J50" s="7">
        <f>C50+E50+G50</f>
        <v>2304</v>
      </c>
      <c r="K50" s="39">
        <f t="shared" si="2"/>
        <v>0</v>
      </c>
      <c r="L50" s="6">
        <f>(C50*D50/100+E50*F50/100+G50*H50/100)*I50</f>
        <v>0</v>
      </c>
    </row>
    <row r="51" spans="1:12" x14ac:dyDescent="0.25">
      <c r="A51" s="19"/>
      <c r="B51" s="20" t="s">
        <v>19</v>
      </c>
      <c r="C51" s="1"/>
      <c r="D51" s="21"/>
      <c r="E51" s="7">
        <f>2741+754+338</f>
        <v>3833</v>
      </c>
      <c r="F51" s="21">
        <v>25</v>
      </c>
      <c r="G51" s="7"/>
      <c r="H51" s="21"/>
      <c r="I51" s="41">
        <f>E$7</f>
        <v>6.75</v>
      </c>
      <c r="J51" s="7">
        <f>C51+E51+G51</f>
        <v>3833</v>
      </c>
      <c r="K51" s="39">
        <f t="shared" si="2"/>
        <v>1.6875</v>
      </c>
      <c r="L51" s="6">
        <f>(C51*D51/100+E51*F51/100+G51*H51/100)*I51</f>
        <v>6468.1875</v>
      </c>
    </row>
    <row r="52" spans="1:12" x14ac:dyDescent="0.25">
      <c r="B52" s="4" t="s">
        <v>12</v>
      </c>
      <c r="C52" s="9">
        <f>SUM(C47:C51)</f>
        <v>7000</v>
      </c>
      <c r="D52" s="22">
        <f>(C47*D47+C48*D48+C49*D49+C50*D50+C51*D51)/C52</f>
        <v>100</v>
      </c>
      <c r="E52" s="9">
        <f>SUM(E47:E51)</f>
        <v>6380</v>
      </c>
      <c r="F52" s="22">
        <f>(E47*F47+E48*F48+E49*F49+E50*F50+E51*F51)/E52</f>
        <v>34.980407523510969</v>
      </c>
      <c r="G52" s="9">
        <f>SUM(G47:G51)</f>
        <v>5337</v>
      </c>
      <c r="H52" s="22">
        <f>(G47*H47+G48*H48+G49*H49+G50*H50+G51*H51)/G52</f>
        <v>6.108300543376429</v>
      </c>
      <c r="I52" s="38">
        <f>L52/J52</f>
        <v>4.6283492279745682</v>
      </c>
      <c r="J52" s="9">
        <f>SUM(J47:J51)</f>
        <v>18717</v>
      </c>
      <c r="K52" s="38">
        <f>L52/J52</f>
        <v>4.6283492279745682</v>
      </c>
      <c r="L52" s="8">
        <f>SUM(L47:L51)</f>
        <v>86628.8125</v>
      </c>
    </row>
    <row r="54" spans="1:12" x14ac:dyDescent="0.25">
      <c r="A54" s="43" t="s">
        <v>15</v>
      </c>
      <c r="B54" s="43"/>
    </row>
    <row r="55" spans="1:12" x14ac:dyDescent="0.25">
      <c r="A55" s="13"/>
      <c r="B55" s="14" t="s">
        <v>91</v>
      </c>
      <c r="C55" s="7">
        <v>7000</v>
      </c>
      <c r="D55" s="21">
        <v>100</v>
      </c>
      <c r="E55" s="23"/>
      <c r="F55" s="21"/>
      <c r="G55" s="23">
        <v>326</v>
      </c>
      <c r="H55" s="21">
        <v>100</v>
      </c>
      <c r="I55" s="39">
        <f>E$3+4*(I$63-E$3)/5*0</f>
        <v>8.2040677040677039</v>
      </c>
      <c r="J55" s="7">
        <f>C55+E55+G55</f>
        <v>7326</v>
      </c>
      <c r="K55" s="39">
        <f>L55/J55</f>
        <v>8.2040677040677039</v>
      </c>
      <c r="L55" s="6">
        <f>(C55*D55/100+E55*F55/100+G55*H55/100)*I55</f>
        <v>60103</v>
      </c>
    </row>
    <row r="56" spans="1:12" x14ac:dyDescent="0.25">
      <c r="A56" s="11"/>
      <c r="B56" s="12" t="s">
        <v>92</v>
      </c>
      <c r="C56" s="1"/>
      <c r="D56" s="21"/>
      <c r="E56" s="23"/>
      <c r="F56" s="21"/>
      <c r="G56" s="7">
        <f>400+689+695+923</f>
        <v>2707</v>
      </c>
      <c r="H56" s="21">
        <v>0</v>
      </c>
      <c r="I56" s="41">
        <f>E$4</f>
        <v>16.75</v>
      </c>
      <c r="J56" s="7">
        <f>C56+E56+G56</f>
        <v>2707</v>
      </c>
      <c r="K56" s="39">
        <f t="shared" ref="K56:K59" si="3">L56/J56</f>
        <v>0</v>
      </c>
      <c r="L56" s="6">
        <f>(C56*D56/100+E56*F56/100+G56*H56/100)*I56</f>
        <v>0</v>
      </c>
    </row>
    <row r="57" spans="1:12" x14ac:dyDescent="0.25">
      <c r="A57" s="15"/>
      <c r="B57" s="16" t="s">
        <v>11</v>
      </c>
      <c r="C57" s="1"/>
      <c r="D57" s="21"/>
      <c r="E57" s="7">
        <f>735+701+358+753</f>
        <v>2547</v>
      </c>
      <c r="F57" s="21">
        <v>75</v>
      </c>
      <c r="G57" s="23"/>
      <c r="H57" s="21"/>
      <c r="I57" s="41">
        <f>E$5</f>
        <v>15.75</v>
      </c>
      <c r="J57" s="7">
        <f>C57+E57+G57</f>
        <v>2547</v>
      </c>
      <c r="K57" s="39">
        <f t="shared" si="3"/>
        <v>11.8125</v>
      </c>
      <c r="L57" s="6">
        <f>(C57*D57/100+E57*F57/100+G57*H57/100)*I57</f>
        <v>30086.4375</v>
      </c>
    </row>
    <row r="58" spans="1:12" x14ac:dyDescent="0.25">
      <c r="A58" s="17"/>
      <c r="B58" s="18" t="s">
        <v>73</v>
      </c>
      <c r="C58" s="1"/>
      <c r="D58" s="21"/>
      <c r="E58" s="23"/>
      <c r="F58" s="21"/>
      <c r="G58" s="7">
        <f>1198+572+534</f>
        <v>2304</v>
      </c>
      <c r="H58" s="21">
        <v>0</v>
      </c>
      <c r="I58" s="41">
        <f>E$6</f>
        <v>17.75</v>
      </c>
      <c r="J58" s="7">
        <f>C58+E58+G58</f>
        <v>2304</v>
      </c>
      <c r="K58" s="39">
        <f t="shared" si="3"/>
        <v>0</v>
      </c>
      <c r="L58" s="6">
        <f>(C58*D58/100+E58*F58/100+G58*H58/100)*I58</f>
        <v>0</v>
      </c>
    </row>
    <row r="59" spans="1:12" x14ac:dyDescent="0.25">
      <c r="A59" s="19"/>
      <c r="B59" s="20" t="s">
        <v>19</v>
      </c>
      <c r="C59" s="1"/>
      <c r="D59" s="21"/>
      <c r="E59" s="7">
        <f>2741+754+338</f>
        <v>3833</v>
      </c>
      <c r="F59" s="21">
        <v>25</v>
      </c>
      <c r="G59" s="7"/>
      <c r="H59" s="21"/>
      <c r="I59" s="41">
        <f>E$7</f>
        <v>6.75</v>
      </c>
      <c r="J59" s="7">
        <f>C59+E59+G59</f>
        <v>3833</v>
      </c>
      <c r="K59" s="39">
        <f t="shared" si="3"/>
        <v>1.6875</v>
      </c>
      <c r="L59" s="6">
        <f>(C59*D59/100+E59*F59/100+G59*H59/100)*I59</f>
        <v>6468.1875</v>
      </c>
    </row>
    <row r="60" spans="1:12" x14ac:dyDescent="0.25">
      <c r="B60" s="4" t="s">
        <v>12</v>
      </c>
      <c r="C60" s="9">
        <f>SUM(C55:C59)</f>
        <v>7000</v>
      </c>
      <c r="D60" s="22">
        <f>(C55*D55+C56*D56+C57*D57+C58*D58+C59*D59)/C60</f>
        <v>100</v>
      </c>
      <c r="E60" s="9">
        <f>SUM(E55:E59)</f>
        <v>6380</v>
      </c>
      <c r="F60" s="22">
        <f>(E55*F55+E56*F56+E57*F57+E58*F58+E59*F59)/E60</f>
        <v>44.960815047021946</v>
      </c>
      <c r="G60" s="9">
        <f>SUM(G55:G59)</f>
        <v>5337</v>
      </c>
      <c r="H60" s="22">
        <f>(G55*H55+G56*H56+G57*H57+G58*H58+G59*H59)/G60</f>
        <v>6.108300543376429</v>
      </c>
      <c r="I60" s="38">
        <f>L60/J60</f>
        <v>5.1641622589090135</v>
      </c>
      <c r="J60" s="9">
        <f>SUM(J55:J59)</f>
        <v>18717</v>
      </c>
      <c r="K60" s="38">
        <f>L60/J60</f>
        <v>5.1641622589090135</v>
      </c>
      <c r="L60" s="8">
        <f>SUM(L55:L59)</f>
        <v>96657.625</v>
      </c>
    </row>
    <row r="62" spans="1:12" x14ac:dyDescent="0.25">
      <c r="A62" s="43" t="s">
        <v>16</v>
      </c>
      <c r="B62" s="43"/>
    </row>
    <row r="63" spans="1:12" x14ac:dyDescent="0.25">
      <c r="A63" s="13"/>
      <c r="B63" s="14" t="s">
        <v>91</v>
      </c>
      <c r="C63" s="7">
        <v>7000</v>
      </c>
      <c r="D63" s="21">
        <v>100</v>
      </c>
      <c r="E63" s="23"/>
      <c r="F63" s="21"/>
      <c r="G63" s="23">
        <v>326</v>
      </c>
      <c r="H63" s="21">
        <v>100</v>
      </c>
      <c r="I63" s="39">
        <f>16.75*0.8*0 + $E$3</f>
        <v>8.2040677040677039</v>
      </c>
      <c r="J63" s="7">
        <f>C63+E63+G63</f>
        <v>7326</v>
      </c>
      <c r="K63" s="39">
        <f>L63/J63</f>
        <v>8.2040677040677039</v>
      </c>
      <c r="L63" s="6">
        <f>(C63*D63/100+E63*F63/100+G63*H63/100)*I63</f>
        <v>60103</v>
      </c>
    </row>
    <row r="64" spans="1:12" x14ac:dyDescent="0.25">
      <c r="A64" s="11"/>
      <c r="B64" s="12" t="s">
        <v>92</v>
      </c>
      <c r="C64" s="1"/>
      <c r="D64" s="21"/>
      <c r="E64" s="23"/>
      <c r="F64" s="21"/>
      <c r="G64" s="7">
        <f>400+689+695+923</f>
        <v>2707</v>
      </c>
      <c r="H64" s="21">
        <v>25</v>
      </c>
      <c r="I64" s="41">
        <f>E$4</f>
        <v>16.75</v>
      </c>
      <c r="J64" s="7">
        <f>C64+E64+G64</f>
        <v>2707</v>
      </c>
      <c r="K64" s="39">
        <f t="shared" ref="K64:K68" si="4">L64/J64</f>
        <v>4.1875</v>
      </c>
      <c r="L64" s="6">
        <f>(C64*D64/100+E64*F64/100+G64*H64/100)*I64</f>
        <v>11335.5625</v>
      </c>
    </row>
    <row r="65" spans="1:12" x14ac:dyDescent="0.25">
      <c r="A65" s="15"/>
      <c r="B65" s="16" t="s">
        <v>11</v>
      </c>
      <c r="C65" s="1"/>
      <c r="D65" s="21"/>
      <c r="E65" s="7">
        <f>735+701+358+753</f>
        <v>2547</v>
      </c>
      <c r="F65" s="21">
        <v>90</v>
      </c>
      <c r="G65" s="23"/>
      <c r="H65" s="21"/>
      <c r="I65" s="41">
        <f>E$5</f>
        <v>15.75</v>
      </c>
      <c r="J65" s="7">
        <f>C65+E65+G65</f>
        <v>2547</v>
      </c>
      <c r="K65" s="39">
        <f t="shared" si="4"/>
        <v>14.175000000000002</v>
      </c>
      <c r="L65" s="6">
        <f>(C65*D65/100+E65*F65/100+G65*H65/100)*I65</f>
        <v>36103.725000000006</v>
      </c>
    </row>
    <row r="66" spans="1:12" x14ac:dyDescent="0.25">
      <c r="A66" s="17"/>
      <c r="B66" s="18" t="s">
        <v>73</v>
      </c>
      <c r="C66" s="1"/>
      <c r="D66" s="21"/>
      <c r="E66" s="23"/>
      <c r="F66" s="21"/>
      <c r="G66" s="7">
        <f>1198+572+534</f>
        <v>2304</v>
      </c>
      <c r="H66" s="21">
        <v>80</v>
      </c>
      <c r="I66" s="41">
        <f>E$6</f>
        <v>17.75</v>
      </c>
      <c r="J66" s="7">
        <f>C66+E66+G66</f>
        <v>2304</v>
      </c>
      <c r="K66" s="39">
        <f t="shared" si="4"/>
        <v>14.2</v>
      </c>
      <c r="L66" s="6">
        <f>(C66*D66/100+E66*F66/100+G66*H66/100)*I66</f>
        <v>32716.799999999999</v>
      </c>
    </row>
    <row r="67" spans="1:12" x14ac:dyDescent="0.25">
      <c r="A67" s="19"/>
      <c r="B67" s="20" t="s">
        <v>19</v>
      </c>
      <c r="C67" s="1"/>
      <c r="D67" s="21"/>
      <c r="E67" s="7">
        <f>2741+754+338</f>
        <v>3833</v>
      </c>
      <c r="F67" s="21">
        <v>25</v>
      </c>
      <c r="G67" s="7"/>
      <c r="H67" s="21"/>
      <c r="I67" s="41">
        <f>E$7</f>
        <v>6.75</v>
      </c>
      <c r="J67" s="7">
        <f>C67+E67+G67</f>
        <v>3833</v>
      </c>
      <c r="K67" s="39">
        <f t="shared" si="4"/>
        <v>1.6875</v>
      </c>
      <c r="L67" s="6">
        <f>(C67*D67/100+E67*F67/100+G67*H67/100)*I67</f>
        <v>6468.1875</v>
      </c>
    </row>
    <row r="68" spans="1:12" x14ac:dyDescent="0.25">
      <c r="B68" s="4" t="s">
        <v>12</v>
      </c>
      <c r="C68" s="9">
        <f>SUM(C63:C67)</f>
        <v>7000</v>
      </c>
      <c r="D68" s="22">
        <f>(C63*D63+C64*D64+C65*D65+C66*D66+C67*D67)/C68</f>
        <v>100</v>
      </c>
      <c r="E68" s="9">
        <f>SUM(E63:E67)</f>
        <v>6380</v>
      </c>
      <c r="F68" s="22">
        <f>(E63*F63+E64*F64+E65*F65+E66*F66+E67*F67)/E68</f>
        <v>50.949059561128529</v>
      </c>
      <c r="G68" s="9">
        <f>SUM(G63:G67)</f>
        <v>5337</v>
      </c>
      <c r="H68" s="22">
        <f>(G63*H63+G64*H64+G65*H65+G66*H66+G67*H67)/G68</f>
        <v>53.324901630129283</v>
      </c>
      <c r="I68" s="38">
        <f>L68/J68</f>
        <v>7.8392517497462197</v>
      </c>
      <c r="J68" s="9">
        <f>SUM(J63:J67)</f>
        <v>18717</v>
      </c>
      <c r="K68" s="38">
        <f t="shared" si="4"/>
        <v>7.8392517497462197</v>
      </c>
      <c r="L68" s="8">
        <f>SUM(L63:L67)</f>
        <v>146727.27499999999</v>
      </c>
    </row>
    <row r="71" spans="1:12" x14ac:dyDescent="0.25">
      <c r="A71" s="43" t="s">
        <v>52</v>
      </c>
      <c r="B71" s="43"/>
    </row>
    <row r="72" spans="1:12" x14ac:dyDescent="0.25">
      <c r="A72" s="13"/>
      <c r="B72" s="14" t="s">
        <v>91</v>
      </c>
      <c r="C72" s="7">
        <v>7000</v>
      </c>
      <c r="D72" s="21">
        <v>100</v>
      </c>
      <c r="E72" s="23"/>
      <c r="F72" s="21"/>
      <c r="G72" s="23">
        <v>326</v>
      </c>
      <c r="H72" s="21">
        <v>100</v>
      </c>
      <c r="I72" s="39">
        <f>I63</f>
        <v>8.2040677040677039</v>
      </c>
      <c r="J72" s="7">
        <f>C72+E72+G72</f>
        <v>7326</v>
      </c>
      <c r="K72" s="39">
        <f>L72/J72</f>
        <v>8.2040677040677039</v>
      </c>
      <c r="L72" s="6">
        <f>(C72*D72/100+E72*F72/100+G72*H72/100)*I72</f>
        <v>60103</v>
      </c>
    </row>
    <row r="73" spans="1:12" x14ac:dyDescent="0.25">
      <c r="A73" s="11"/>
      <c r="B73" s="12" t="s">
        <v>92</v>
      </c>
      <c r="C73" s="1"/>
      <c r="D73" s="21"/>
      <c r="E73" s="23"/>
      <c r="F73" s="21"/>
      <c r="G73" s="7">
        <f>400+689+695+923</f>
        <v>2707</v>
      </c>
      <c r="H73" s="21">
        <v>80</v>
      </c>
      <c r="I73" s="41">
        <f>E$4</f>
        <v>16.75</v>
      </c>
      <c r="J73" s="7">
        <f>C73+E73+G73</f>
        <v>2707</v>
      </c>
      <c r="K73" s="39">
        <f t="shared" ref="K73:K76" si="5">L73/J73</f>
        <v>13.399999999999999</v>
      </c>
      <c r="L73" s="6">
        <f>(C73*D73/100+E73*F73/100+G73*H73/100)*I73</f>
        <v>36273.799999999996</v>
      </c>
    </row>
    <row r="74" spans="1:12" x14ac:dyDescent="0.25">
      <c r="A74" s="15"/>
      <c r="B74" s="16" t="s">
        <v>11</v>
      </c>
      <c r="C74" s="1"/>
      <c r="D74" s="21"/>
      <c r="E74" s="7">
        <f>735+701+358+753</f>
        <v>2547</v>
      </c>
      <c r="F74" s="21">
        <v>90</v>
      </c>
      <c r="G74" s="23"/>
      <c r="H74" s="21"/>
      <c r="I74" s="41">
        <f>E$5</f>
        <v>15.75</v>
      </c>
      <c r="J74" s="7">
        <f>C74+E74+G74</f>
        <v>2547</v>
      </c>
      <c r="K74" s="39">
        <f t="shared" si="5"/>
        <v>14.175000000000002</v>
      </c>
      <c r="L74" s="6">
        <f>(C74*D74/100+E74*F74/100+G74*H74/100)*I74</f>
        <v>36103.725000000006</v>
      </c>
    </row>
    <row r="75" spans="1:12" x14ac:dyDescent="0.25">
      <c r="A75" s="17"/>
      <c r="B75" s="18" t="s">
        <v>73</v>
      </c>
      <c r="C75" s="1"/>
      <c r="D75" s="21"/>
      <c r="E75" s="23"/>
      <c r="F75" s="21"/>
      <c r="G75" s="7">
        <f>1198+572+534</f>
        <v>2304</v>
      </c>
      <c r="H75" s="21">
        <v>80</v>
      </c>
      <c r="I75" s="41">
        <f>E$6</f>
        <v>17.75</v>
      </c>
      <c r="J75" s="7">
        <f>C75+E75+G75</f>
        <v>2304</v>
      </c>
      <c r="K75" s="39">
        <f t="shared" si="5"/>
        <v>14.2</v>
      </c>
      <c r="L75" s="6">
        <f>(C75*D75/100+E75*F75/100+G75*H75/100)*I75</f>
        <v>32716.799999999999</v>
      </c>
    </row>
    <row r="76" spans="1:12" x14ac:dyDescent="0.25">
      <c r="A76" s="19"/>
      <c r="B76" s="20" t="s">
        <v>19</v>
      </c>
      <c r="C76" s="1"/>
      <c r="D76" s="21"/>
      <c r="E76" s="7">
        <f>2741+754+338</f>
        <v>3833</v>
      </c>
      <c r="F76" s="21">
        <v>25</v>
      </c>
      <c r="G76" s="7"/>
      <c r="H76" s="21"/>
      <c r="I76" s="41">
        <f>E$7</f>
        <v>6.75</v>
      </c>
      <c r="J76" s="7">
        <f>C76+E76+G76</f>
        <v>3833</v>
      </c>
      <c r="K76" s="39">
        <f t="shared" si="5"/>
        <v>1.6875</v>
      </c>
      <c r="L76" s="6">
        <f>(C76*D76/100+E76*F76/100+G76*H76/100)*I76</f>
        <v>6468.1875</v>
      </c>
    </row>
    <row r="77" spans="1:12" x14ac:dyDescent="0.25">
      <c r="B77" s="4" t="s">
        <v>12</v>
      </c>
      <c r="C77" s="9">
        <f>SUM(C72:C76)</f>
        <v>7000</v>
      </c>
      <c r="D77" s="22">
        <f>(C72*D72+C73*D73+C74*D74+C75*D75+C76*D76)/C77</f>
        <v>100</v>
      </c>
      <c r="E77" s="9">
        <f>SUM(E72:E76)</f>
        <v>6380</v>
      </c>
      <c r="F77" s="22">
        <f>(E72*F72+E73*F73+E74*F74+E75*F75+E76*F76)/E77</f>
        <v>50.949059561128529</v>
      </c>
      <c r="G77" s="9">
        <f>SUM(G72:G76)</f>
        <v>5337</v>
      </c>
      <c r="H77" s="22">
        <f>(G72*H72+G73*H73+G74*H74+G75*H75+G76*H76)/G77</f>
        <v>81.22166010867528</v>
      </c>
      <c r="I77" s="38">
        <f>L77/J77</f>
        <v>9.171636079499919</v>
      </c>
      <c r="J77" s="9">
        <f>SUM(J72:J76)</f>
        <v>18717</v>
      </c>
      <c r="K77" s="38">
        <f>L77/J77</f>
        <v>9.171636079499919</v>
      </c>
      <c r="L77" s="8">
        <f>SUM(L72:L76)</f>
        <v>171665.51249999998</v>
      </c>
    </row>
  </sheetData>
  <mergeCells count="12">
    <mergeCell ref="C1:F1"/>
    <mergeCell ref="A30:B30"/>
    <mergeCell ref="A38:B38"/>
    <mergeCell ref="A46:B46"/>
    <mergeCell ref="A54:B54"/>
    <mergeCell ref="A13:B13"/>
    <mergeCell ref="A21:B21"/>
    <mergeCell ref="A62:B62"/>
    <mergeCell ref="A71:B71"/>
    <mergeCell ref="C9:D9"/>
    <mergeCell ref="E9:F9"/>
    <mergeCell ref="G9:H9"/>
  </mergeCells>
  <printOptions horizontalCentered="1"/>
  <pageMargins left="0.25" right="0.25" top="0.75" bottom="0.75" header="0.3" footer="0.3"/>
  <pageSetup scale="60" fitToHeight="3" orientation="portrait" r:id="rId1"/>
  <headerFooter>
    <oddFooter>&amp;L&amp;F&amp;R&amp;A</oddFooter>
  </headerFooter>
  <ignoredErrors>
    <ignoredError sqref="D36 D60 K1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T25"/>
  <sheetViews>
    <sheetView workbookViewId="0"/>
  </sheetViews>
  <sheetFormatPr defaultRowHeight="15" x14ac:dyDescent="0.25"/>
  <cols>
    <col min="1" max="15" width="11.7109375" customWidth="1"/>
    <col min="16" max="28" width="12.7109375" customWidth="1"/>
  </cols>
  <sheetData>
    <row r="2" spans="1:19" x14ac:dyDescent="0.25">
      <c r="B2" t="s">
        <v>42</v>
      </c>
    </row>
    <row r="4" spans="1:19" x14ac:dyDescent="0.25">
      <c r="A4" s="1" t="s">
        <v>37</v>
      </c>
    </row>
    <row r="5" spans="1:19" x14ac:dyDescent="0.25">
      <c r="A5" s="4" t="s">
        <v>2</v>
      </c>
      <c r="B5" t="s">
        <v>88</v>
      </c>
    </row>
    <row r="6" spans="1:19" x14ac:dyDescent="0.25">
      <c r="A6" s="4" t="s">
        <v>56</v>
      </c>
      <c r="B6" t="s">
        <v>93</v>
      </c>
    </row>
    <row r="7" spans="1:19" x14ac:dyDescent="0.25">
      <c r="A7" s="4" t="s">
        <v>57</v>
      </c>
      <c r="B7" t="s">
        <v>89</v>
      </c>
    </row>
    <row r="8" spans="1:19" x14ac:dyDescent="0.25">
      <c r="A8" s="4" t="s">
        <v>78</v>
      </c>
      <c r="B8" t="s">
        <v>90</v>
      </c>
    </row>
    <row r="10" spans="1:19" x14ac:dyDescent="0.25">
      <c r="F10" s="1" t="s">
        <v>24</v>
      </c>
      <c r="L10" s="6"/>
      <c r="M10" s="2"/>
    </row>
    <row r="11" spans="1:19" x14ac:dyDescent="0.25">
      <c r="F11" s="1" t="s">
        <v>25</v>
      </c>
    </row>
    <row r="12" spans="1:19" x14ac:dyDescent="0.25">
      <c r="D12" s="5" t="s">
        <v>23</v>
      </c>
      <c r="E12" s="5" t="s">
        <v>22</v>
      </c>
      <c r="F12" s="1" t="s">
        <v>26</v>
      </c>
      <c r="O12" s="5" t="s">
        <v>35</v>
      </c>
      <c r="Q12" s="1" t="s">
        <v>36</v>
      </c>
      <c r="R12" s="1" t="s">
        <v>36</v>
      </c>
      <c r="S12" s="1" t="s">
        <v>10</v>
      </c>
    </row>
    <row r="13" spans="1:19" x14ac:dyDescent="0.25">
      <c r="D13" s="1" t="s">
        <v>47</v>
      </c>
      <c r="E13" s="1" t="s">
        <v>47</v>
      </c>
      <c r="F13" s="1" t="s">
        <v>27</v>
      </c>
      <c r="G13" s="1" t="s">
        <v>28</v>
      </c>
      <c r="H13" s="24"/>
      <c r="J13" s="28" t="s">
        <v>68</v>
      </c>
      <c r="K13" s="28"/>
      <c r="L13" s="28"/>
      <c r="O13" s="1" t="s">
        <v>50</v>
      </c>
      <c r="Q13" s="1" t="s">
        <v>10</v>
      </c>
      <c r="R13" s="1" t="s">
        <v>10</v>
      </c>
      <c r="S13" s="1" t="s">
        <v>40</v>
      </c>
    </row>
    <row r="14" spans="1:19" x14ac:dyDescent="0.25">
      <c r="B14" s="1" t="s">
        <v>20</v>
      </c>
      <c r="C14" s="1" t="s">
        <v>21</v>
      </c>
      <c r="D14" s="1" t="s">
        <v>49</v>
      </c>
      <c r="E14" s="1" t="s">
        <v>48</v>
      </c>
      <c r="F14" s="1" t="s">
        <v>41</v>
      </c>
      <c r="G14" s="1" t="s">
        <v>29</v>
      </c>
      <c r="H14" s="24" t="s">
        <v>64</v>
      </c>
      <c r="I14" s="1" t="s">
        <v>30</v>
      </c>
      <c r="J14" s="28" t="s">
        <v>69</v>
      </c>
      <c r="K14" s="28" t="s">
        <v>70</v>
      </c>
      <c r="L14" s="28" t="s">
        <v>71</v>
      </c>
      <c r="M14" s="1" t="s">
        <v>31</v>
      </c>
      <c r="N14" s="1" t="s">
        <v>32</v>
      </c>
      <c r="O14" s="1" t="s">
        <v>51</v>
      </c>
      <c r="P14" s="1" t="s">
        <v>33</v>
      </c>
      <c r="Q14" s="1" t="s">
        <v>38</v>
      </c>
      <c r="R14" s="1" t="s">
        <v>0</v>
      </c>
      <c r="S14" s="1" t="s">
        <v>39</v>
      </c>
    </row>
    <row r="16" spans="1:19" x14ac:dyDescent="0.25">
      <c r="A16" s="24" t="s">
        <v>66</v>
      </c>
      <c r="B16" s="6">
        <f>8300</f>
        <v>8300</v>
      </c>
      <c r="C16" s="6">
        <f>12000</f>
        <v>12000</v>
      </c>
      <c r="D16" s="6">
        <f>850</f>
        <v>850</v>
      </c>
      <c r="E16" s="6">
        <v>500</v>
      </c>
      <c r="F16" s="6">
        <f>2000+1700</f>
        <v>3700</v>
      </c>
      <c r="G16" s="6">
        <v>15000</v>
      </c>
      <c r="H16" s="6">
        <v>0</v>
      </c>
      <c r="I16" s="6">
        <v>0</v>
      </c>
      <c r="J16" s="6">
        <f>259+950</f>
        <v>1209</v>
      </c>
      <c r="K16" s="6"/>
      <c r="L16" s="6"/>
      <c r="M16" s="6"/>
      <c r="N16" s="6">
        <v>0</v>
      </c>
      <c r="O16" s="6">
        <v>0</v>
      </c>
      <c r="P16" s="6">
        <v>0</v>
      </c>
      <c r="Q16" s="6">
        <f>SUM(B16:P16)</f>
        <v>41559</v>
      </c>
      <c r="R16" s="6">
        <f>SUM(B16:P16)</f>
        <v>41559</v>
      </c>
      <c r="S16" s="6">
        <f t="shared" ref="S16:S17" si="0">R16-Q16</f>
        <v>0</v>
      </c>
    </row>
    <row r="17" spans="1:20" x14ac:dyDescent="0.25">
      <c r="A17" s="24" t="s">
        <v>65</v>
      </c>
      <c r="B17" s="6">
        <f>9103</f>
        <v>9103</v>
      </c>
      <c r="C17" s="6">
        <f>13243</f>
        <v>13243</v>
      </c>
      <c r="D17" s="6">
        <f>(1002+429+1)</f>
        <v>1432</v>
      </c>
      <c r="E17" s="6">
        <f>3905</f>
        <v>3905</v>
      </c>
      <c r="F17" s="6">
        <f>(30000+1000+1875+2000+1200)*0+(2000+0+1500+200)</f>
        <v>3700</v>
      </c>
      <c r="G17" s="6">
        <v>19877</v>
      </c>
      <c r="H17" s="6">
        <v>264</v>
      </c>
      <c r="I17" s="6">
        <v>5934</v>
      </c>
      <c r="J17" s="6">
        <f>259+950</f>
        <v>1209</v>
      </c>
      <c r="K17" s="6">
        <v>500</v>
      </c>
      <c r="L17" s="6">
        <f>78*12</f>
        <v>936</v>
      </c>
      <c r="M17" s="6">
        <v>0</v>
      </c>
      <c r="N17" s="6">
        <v>0</v>
      </c>
      <c r="O17" s="6">
        <v>0</v>
      </c>
      <c r="P17" s="6">
        <v>0</v>
      </c>
      <c r="Q17" s="6">
        <f>SUM(B17:P17)</f>
        <v>60103</v>
      </c>
      <c r="R17" s="6">
        <f>SUM(B17:P17)</f>
        <v>60103</v>
      </c>
      <c r="S17" s="6">
        <f t="shared" si="0"/>
        <v>0</v>
      </c>
    </row>
    <row r="18" spans="1:20" x14ac:dyDescent="0.25">
      <c r="E18" s="6"/>
    </row>
    <row r="19" spans="1:20" x14ac:dyDescent="0.25">
      <c r="A19" s="1" t="s">
        <v>5</v>
      </c>
      <c r="B19" s="6">
        <f>9103</f>
        <v>9103</v>
      </c>
      <c r="C19" s="6">
        <f>13243</f>
        <v>13243</v>
      </c>
      <c r="D19" s="6">
        <f>(1002+429+1)</f>
        <v>1432</v>
      </c>
      <c r="E19" s="6">
        <f>3905</f>
        <v>3905</v>
      </c>
      <c r="F19" s="6">
        <f t="shared" ref="F19:F25" si="1">2000+1700</f>
        <v>3700</v>
      </c>
      <c r="G19" s="6">
        <f>19877 + 1*(G$23-G$17)/5</f>
        <v>24837</v>
      </c>
      <c r="H19" s="6">
        <v>264</v>
      </c>
      <c r="I19" s="6">
        <v>5934</v>
      </c>
      <c r="J19" s="6">
        <f>259+950</f>
        <v>1209</v>
      </c>
      <c r="K19" s="6">
        <v>500</v>
      </c>
      <c r="L19" s="6">
        <v>936</v>
      </c>
      <c r="M19" s="6">
        <v>10000</v>
      </c>
      <c r="N19" s="6">
        <v>5000</v>
      </c>
      <c r="O19" s="6">
        <v>450</v>
      </c>
      <c r="P19" s="6">
        <v>0</v>
      </c>
      <c r="Q19" s="6">
        <f>SUM(B19:P19)</f>
        <v>80513</v>
      </c>
      <c r="R19" s="6">
        <f>'Revenue Forecast'!L36</f>
        <v>70582.712499999994</v>
      </c>
      <c r="S19" s="6">
        <f>R19-Q19</f>
        <v>-9930.2875000000058</v>
      </c>
    </row>
    <row r="20" spans="1:20" x14ac:dyDescent="0.25">
      <c r="A20" s="1" t="s">
        <v>13</v>
      </c>
      <c r="B20" s="6">
        <f>9103</f>
        <v>9103</v>
      </c>
      <c r="C20" s="6">
        <f>13243</f>
        <v>13243</v>
      </c>
      <c r="D20" s="6">
        <f t="shared" ref="D20:D25" si="2">(1002+429+1)</f>
        <v>1432</v>
      </c>
      <c r="E20" s="6">
        <f>3905</f>
        <v>3905</v>
      </c>
      <c r="F20" s="6">
        <f t="shared" si="1"/>
        <v>3700</v>
      </c>
      <c r="G20" s="6">
        <f>19877 + 2*(G$23-G$17)/5</f>
        <v>29797</v>
      </c>
      <c r="H20" s="6">
        <v>264</v>
      </c>
      <c r="I20" s="6">
        <v>5934</v>
      </c>
      <c r="J20" s="6">
        <f t="shared" ref="J20:J25" si="3">259+950</f>
        <v>1209</v>
      </c>
      <c r="K20" s="6">
        <v>500</v>
      </c>
      <c r="L20" s="6">
        <v>936</v>
      </c>
      <c r="M20" s="6">
        <v>15000</v>
      </c>
      <c r="N20" s="6">
        <v>5000</v>
      </c>
      <c r="O20" s="6">
        <v>450</v>
      </c>
      <c r="P20" s="6">
        <v>0</v>
      </c>
      <c r="Q20" s="6">
        <f>SUM(B20:P20)</f>
        <v>90473</v>
      </c>
      <c r="R20" s="6">
        <f>'Revenue Forecast'!L44</f>
        <v>76600</v>
      </c>
      <c r="S20" s="6">
        <f t="shared" ref="S20:S23" si="4">R20-Q20</f>
        <v>-13873</v>
      </c>
    </row>
    <row r="21" spans="1:20" x14ac:dyDescent="0.25">
      <c r="A21" s="1" t="s">
        <v>14</v>
      </c>
      <c r="B21" s="6">
        <f>9103</f>
        <v>9103</v>
      </c>
      <c r="C21" s="6">
        <f>13243</f>
        <v>13243</v>
      </c>
      <c r="D21" s="6">
        <f t="shared" si="2"/>
        <v>1432</v>
      </c>
      <c r="E21" s="6">
        <f>3905</f>
        <v>3905</v>
      </c>
      <c r="F21" s="6">
        <f t="shared" si="1"/>
        <v>3700</v>
      </c>
      <c r="G21" s="6">
        <f>19877 + 3*(G$23-G$17)/5</f>
        <v>34757</v>
      </c>
      <c r="H21" s="6">
        <v>264</v>
      </c>
      <c r="I21" s="6">
        <v>5934</v>
      </c>
      <c r="J21" s="6">
        <f t="shared" si="3"/>
        <v>1209</v>
      </c>
      <c r="K21" s="6">
        <v>500</v>
      </c>
      <c r="L21" s="6">
        <v>936</v>
      </c>
      <c r="M21" s="6">
        <v>20000</v>
      </c>
      <c r="N21" s="6">
        <v>5000</v>
      </c>
      <c r="O21" s="6">
        <v>450</v>
      </c>
      <c r="P21" s="6">
        <v>0</v>
      </c>
      <c r="Q21" s="6">
        <f>SUM(B21:P21)</f>
        <v>100433</v>
      </c>
      <c r="R21" s="6">
        <f>'Revenue Forecast'!L52</f>
        <v>86628.8125</v>
      </c>
      <c r="S21" s="6">
        <f t="shared" si="4"/>
        <v>-13804.1875</v>
      </c>
    </row>
    <row r="22" spans="1:20" x14ac:dyDescent="0.25">
      <c r="A22" s="1" t="s">
        <v>15</v>
      </c>
      <c r="B22" s="6">
        <f>9103</f>
        <v>9103</v>
      </c>
      <c r="C22" s="6">
        <f>13243</f>
        <v>13243</v>
      </c>
      <c r="D22" s="6">
        <f t="shared" si="2"/>
        <v>1432</v>
      </c>
      <c r="E22" s="6">
        <f>3905</f>
        <v>3905</v>
      </c>
      <c r="F22" s="6">
        <f t="shared" si="1"/>
        <v>3700</v>
      </c>
      <c r="G22" s="6">
        <f>19877 + 4*(G$23-G$17)/5</f>
        <v>39717</v>
      </c>
      <c r="H22" s="6">
        <v>264</v>
      </c>
      <c r="I22" s="6">
        <v>5934</v>
      </c>
      <c r="J22" s="6">
        <f t="shared" si="3"/>
        <v>1209</v>
      </c>
      <c r="K22" s="6">
        <v>500</v>
      </c>
      <c r="L22" s="6">
        <v>936</v>
      </c>
      <c r="M22" s="6">
        <v>20000</v>
      </c>
      <c r="N22" s="6">
        <v>5000</v>
      </c>
      <c r="O22" s="6">
        <v>450</v>
      </c>
      <c r="P22" s="6">
        <v>0</v>
      </c>
      <c r="Q22" s="6">
        <f>SUM(B22:P22)</f>
        <v>105393</v>
      </c>
      <c r="R22" s="6">
        <f>'Revenue Forecast'!L60</f>
        <v>96657.625</v>
      </c>
      <c r="S22" s="6">
        <f t="shared" si="4"/>
        <v>-8735.375</v>
      </c>
    </row>
    <row r="23" spans="1:20" x14ac:dyDescent="0.25">
      <c r="A23" s="1" t="s">
        <v>16</v>
      </c>
      <c r="B23" s="6">
        <f>9103</f>
        <v>9103</v>
      </c>
      <c r="C23" s="6">
        <f>13243</f>
        <v>13243</v>
      </c>
      <c r="D23" s="6">
        <f t="shared" si="2"/>
        <v>1432</v>
      </c>
      <c r="E23" s="6">
        <f>3905</f>
        <v>3905</v>
      </c>
      <c r="F23" s="6">
        <f t="shared" si="1"/>
        <v>3700</v>
      </c>
      <c r="G23" s="6">
        <f t="shared" ref="G23:G25" si="5">19877+24800</f>
        <v>44677</v>
      </c>
      <c r="H23" s="6">
        <v>264</v>
      </c>
      <c r="I23" s="6">
        <v>5934</v>
      </c>
      <c r="J23" s="6">
        <f t="shared" si="3"/>
        <v>1209</v>
      </c>
      <c r="K23" s="6">
        <v>500</v>
      </c>
      <c r="L23" s="6">
        <v>936</v>
      </c>
      <c r="M23" s="6">
        <v>20000</v>
      </c>
      <c r="N23" s="6">
        <v>5000</v>
      </c>
      <c r="O23" s="6">
        <v>450</v>
      </c>
      <c r="P23" s="6">
        <v>0</v>
      </c>
      <c r="Q23" s="6">
        <f>SUM(B23:P23)</f>
        <v>110353</v>
      </c>
      <c r="R23" s="6">
        <f>'Revenue Forecast'!L68</f>
        <v>146727.27499999999</v>
      </c>
      <c r="S23" s="6">
        <f t="shared" si="4"/>
        <v>36374.274999999994</v>
      </c>
      <c r="T23" s="6"/>
    </row>
    <row r="24" spans="1:20" x14ac:dyDescent="0.25">
      <c r="A24" s="1"/>
    </row>
    <row r="25" spans="1:20" x14ac:dyDescent="0.25">
      <c r="A25" s="5" t="s">
        <v>53</v>
      </c>
      <c r="B25" s="6">
        <f>9103</f>
        <v>9103</v>
      </c>
      <c r="C25" s="6">
        <f>13243</f>
        <v>13243</v>
      </c>
      <c r="D25" s="6">
        <f t="shared" si="2"/>
        <v>1432</v>
      </c>
      <c r="E25" s="6">
        <f>3905</f>
        <v>3905</v>
      </c>
      <c r="F25" s="6">
        <f t="shared" si="1"/>
        <v>3700</v>
      </c>
      <c r="G25" s="6">
        <f t="shared" si="5"/>
        <v>44677</v>
      </c>
      <c r="H25" s="6">
        <v>264</v>
      </c>
      <c r="I25" s="6">
        <v>5934</v>
      </c>
      <c r="J25" s="6">
        <f t="shared" si="3"/>
        <v>1209</v>
      </c>
      <c r="K25" s="6">
        <v>500</v>
      </c>
      <c r="L25" s="6">
        <v>936</v>
      </c>
      <c r="M25" s="6">
        <v>20000</v>
      </c>
      <c r="N25" s="6">
        <v>5000</v>
      </c>
      <c r="O25" s="6">
        <v>450</v>
      </c>
      <c r="P25" s="6">
        <v>0</v>
      </c>
      <c r="Q25" s="6">
        <f>SUM(B25:P25)</f>
        <v>110353</v>
      </c>
      <c r="R25" s="6">
        <f>'Revenue Forecast'!L77</f>
        <v>171665.51249999998</v>
      </c>
      <c r="S25" s="6">
        <f>R25-Q25</f>
        <v>61312.512499999983</v>
      </c>
    </row>
  </sheetData>
  <printOptions horizontalCentered="1"/>
  <pageMargins left="0.25" right="0.25" top="0.75" bottom="0.75" header="0.3" footer="0.3"/>
  <pageSetup scale="59" orientation="landscape" r:id="rId1"/>
  <headerFooter>
    <oddFooter>&amp;L&amp;F&amp;R&amp;A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30"/>
  <sheetViews>
    <sheetView topLeftCell="I1" workbookViewId="0">
      <selection activeCell="I25" sqref="I25"/>
    </sheetView>
  </sheetViews>
  <sheetFormatPr defaultRowHeight="15" x14ac:dyDescent="0.25"/>
  <cols>
    <col min="1" max="8" width="12.7109375" customWidth="1"/>
    <col min="9" max="9" width="19.5703125" bestFit="1" customWidth="1"/>
    <col min="10" max="25" width="12.7109375" customWidth="1"/>
  </cols>
  <sheetData>
    <row r="2" spans="2:23" x14ac:dyDescent="0.25">
      <c r="B2" t="str">
        <f>"Revenue Space Breakout - Total " &amp; TEXT('Revenue Forecast'!J36,"#,0") &amp; " ft²"</f>
        <v>Revenue Space Breakout - Total 18,717 ft²</v>
      </c>
      <c r="I2" t="s">
        <v>79</v>
      </c>
    </row>
    <row r="3" spans="2:23" x14ac:dyDescent="0.25">
      <c r="J3" s="42" t="s">
        <v>94</v>
      </c>
      <c r="K3" s="24" t="s">
        <v>95</v>
      </c>
    </row>
    <row r="4" spans="2:23" x14ac:dyDescent="0.25">
      <c r="J4" s="24" t="s">
        <v>35</v>
      </c>
      <c r="K4" s="24" t="s">
        <v>59</v>
      </c>
      <c r="L4" s="24" t="s">
        <v>60</v>
      </c>
      <c r="M4" s="24" t="s">
        <v>61</v>
      </c>
      <c r="N4" s="24" t="s">
        <v>62</v>
      </c>
      <c r="O4" s="24" t="s">
        <v>36</v>
      </c>
    </row>
    <row r="5" spans="2:23" x14ac:dyDescent="0.25">
      <c r="I5" s="24" t="s">
        <v>58</v>
      </c>
      <c r="J5" s="24" t="s">
        <v>0</v>
      </c>
      <c r="K5" s="24" t="s">
        <v>0</v>
      </c>
      <c r="L5" s="24" t="s">
        <v>0</v>
      </c>
      <c r="M5" s="24" t="s">
        <v>0</v>
      </c>
      <c r="N5" s="24" t="s">
        <v>63</v>
      </c>
      <c r="O5" s="24" t="s">
        <v>0</v>
      </c>
    </row>
    <row r="7" spans="2:23" x14ac:dyDescent="0.25">
      <c r="I7" s="24" t="str">
        <f>'Revenue Forecast'!A30</f>
        <v>FY2018</v>
      </c>
      <c r="J7" s="25">
        <f>'Revenue Forecast'!L31</f>
        <v>60103</v>
      </c>
      <c r="K7" s="6">
        <f>'Revenue Forecast'!L32</f>
        <v>0</v>
      </c>
      <c r="L7" s="6">
        <f>'Revenue Forecast'!L33</f>
        <v>4011.5249999999996</v>
      </c>
      <c r="M7" s="6">
        <f>'Revenue Forecast'!L34</f>
        <v>0</v>
      </c>
      <c r="N7" s="6">
        <f>'Revenue Forecast'!L35</f>
        <v>6468.1875</v>
      </c>
      <c r="O7" s="6">
        <f>SUM(J7:N7)</f>
        <v>70582.712499999994</v>
      </c>
    </row>
    <row r="8" spans="2:23" x14ac:dyDescent="0.25">
      <c r="I8" s="24" t="str">
        <f>'Revenue Forecast'!A38</f>
        <v>FY2019</v>
      </c>
      <c r="J8" s="25">
        <f>'Revenue Forecast'!L39</f>
        <v>60103</v>
      </c>
      <c r="K8" s="6">
        <f>'Revenue Forecast'!L40</f>
        <v>0</v>
      </c>
      <c r="L8" s="6">
        <f>'Revenue Forecast'!L41</f>
        <v>10028.8125</v>
      </c>
      <c r="M8" s="6">
        <f>'Revenue Forecast'!L42</f>
        <v>0</v>
      </c>
      <c r="N8" s="6">
        <f>'Revenue Forecast'!L43</f>
        <v>6468.1875</v>
      </c>
      <c r="O8" s="6">
        <f t="shared" ref="O8:O11" si="0">SUM(J8:N8)</f>
        <v>76600</v>
      </c>
    </row>
    <row r="9" spans="2:23" x14ac:dyDescent="0.25">
      <c r="I9" s="24" t="str">
        <f>'Revenue Forecast'!A46</f>
        <v>FY2020</v>
      </c>
      <c r="J9" s="25">
        <f>'Revenue Forecast'!L47</f>
        <v>60103</v>
      </c>
      <c r="K9" s="6">
        <f>'Revenue Forecast'!L48</f>
        <v>0</v>
      </c>
      <c r="L9" s="6">
        <f>'Revenue Forecast'!L49</f>
        <v>20057.625</v>
      </c>
      <c r="M9" s="6">
        <f>'Revenue Forecast'!L50</f>
        <v>0</v>
      </c>
      <c r="N9" s="6">
        <f>'Revenue Forecast'!L51</f>
        <v>6468.1875</v>
      </c>
      <c r="O9" s="6">
        <f t="shared" si="0"/>
        <v>86628.8125</v>
      </c>
    </row>
    <row r="10" spans="2:23" x14ac:dyDescent="0.25">
      <c r="I10" s="24" t="str">
        <f>'Revenue Forecast'!A54</f>
        <v>FY2021</v>
      </c>
      <c r="J10" s="25">
        <f>'Revenue Forecast'!L55</f>
        <v>60103</v>
      </c>
      <c r="K10" s="6">
        <f>'Revenue Forecast'!L56</f>
        <v>0</v>
      </c>
      <c r="L10" s="6">
        <f>'Revenue Forecast'!L57</f>
        <v>30086.4375</v>
      </c>
      <c r="M10" s="6">
        <f>'Revenue Forecast'!L58</f>
        <v>0</v>
      </c>
      <c r="N10" s="6">
        <f>'Revenue Forecast'!L59</f>
        <v>6468.1875</v>
      </c>
      <c r="O10" s="6">
        <f t="shared" si="0"/>
        <v>96657.625</v>
      </c>
    </row>
    <row r="11" spans="2:23" x14ac:dyDescent="0.25">
      <c r="I11" s="24" t="str">
        <f>'Revenue Forecast'!A62</f>
        <v>FY2022</v>
      </c>
      <c r="J11" s="25">
        <f>'Revenue Forecast'!L63</f>
        <v>60103</v>
      </c>
      <c r="K11" s="6">
        <f>'Revenue Forecast'!L64</f>
        <v>11335.5625</v>
      </c>
      <c r="L11" s="6">
        <f>'Revenue Forecast'!L65</f>
        <v>36103.725000000006</v>
      </c>
      <c r="M11" s="6">
        <f>'Revenue Forecast'!L66</f>
        <v>32716.799999999999</v>
      </c>
      <c r="N11" s="6">
        <f>'Revenue Forecast'!L67</f>
        <v>6468.1875</v>
      </c>
      <c r="O11" s="6">
        <f t="shared" si="0"/>
        <v>146727.27499999999</v>
      </c>
    </row>
    <row r="12" spans="2:23" x14ac:dyDescent="0.25">
      <c r="I12" s="4" t="str">
        <f>'Revenue Forecast'!A71</f>
        <v>FY2023 to FY2038</v>
      </c>
      <c r="J12" s="25">
        <f>'Revenue Forecast'!L72</f>
        <v>60103</v>
      </c>
      <c r="K12" s="6">
        <f>'Revenue Forecast'!L73</f>
        <v>36273.799999999996</v>
      </c>
      <c r="L12" s="6">
        <f>'Revenue Forecast'!L74</f>
        <v>36103.725000000006</v>
      </c>
      <c r="M12" s="6">
        <f>'Revenue Forecast'!L75</f>
        <v>32716.799999999999</v>
      </c>
      <c r="N12" s="6">
        <f>'Revenue Forecast'!L76</f>
        <v>6468.1875</v>
      </c>
      <c r="O12" s="6">
        <f>SUM(J12:N12)</f>
        <v>171665.51249999998</v>
      </c>
    </row>
    <row r="14" spans="2:23" x14ac:dyDescent="0.25">
      <c r="N14" s="29" t="s">
        <v>24</v>
      </c>
    </row>
    <row r="15" spans="2:23" x14ac:dyDescent="0.25">
      <c r="N15" s="29" t="s">
        <v>25</v>
      </c>
    </row>
    <row r="16" spans="2:23" x14ac:dyDescent="0.25">
      <c r="I16" t="s">
        <v>80</v>
      </c>
      <c r="N16" s="29" t="s">
        <v>26</v>
      </c>
      <c r="W16" s="29" t="s">
        <v>35</v>
      </c>
    </row>
    <row r="17" spans="2:25" x14ac:dyDescent="0.25">
      <c r="K17" s="29"/>
      <c r="L17" s="29" t="s">
        <v>81</v>
      </c>
      <c r="M17" s="29" t="s">
        <v>22</v>
      </c>
      <c r="N17" s="29" t="s">
        <v>27</v>
      </c>
      <c r="O17" s="29" t="s">
        <v>28</v>
      </c>
      <c r="P17" s="29"/>
      <c r="R17" s="29" t="s">
        <v>68</v>
      </c>
      <c r="S17" s="29"/>
      <c r="T17" s="29"/>
      <c r="W17" s="29" t="s">
        <v>50</v>
      </c>
    </row>
    <row r="18" spans="2:25" x14ac:dyDescent="0.25">
      <c r="J18" s="29" t="s">
        <v>20</v>
      </c>
      <c r="K18" s="29" t="s">
        <v>21</v>
      </c>
      <c r="L18" s="29" t="s">
        <v>49</v>
      </c>
      <c r="M18" s="29" t="s">
        <v>82</v>
      </c>
      <c r="N18" s="29" t="s">
        <v>41</v>
      </c>
      <c r="O18" s="29" t="s">
        <v>29</v>
      </c>
      <c r="P18" s="29" t="s">
        <v>64</v>
      </c>
      <c r="Q18" s="29" t="s">
        <v>30</v>
      </c>
      <c r="R18" s="29" t="s">
        <v>69</v>
      </c>
      <c r="S18" s="29" t="s">
        <v>70</v>
      </c>
      <c r="T18" s="29" t="s">
        <v>71</v>
      </c>
      <c r="U18" s="29" t="s">
        <v>31</v>
      </c>
      <c r="V18" s="29" t="s">
        <v>32</v>
      </c>
      <c r="W18" s="29" t="s">
        <v>51</v>
      </c>
      <c r="X18" s="29" t="s">
        <v>33</v>
      </c>
      <c r="Y18" s="29" t="s">
        <v>36</v>
      </c>
    </row>
    <row r="19" spans="2:25" x14ac:dyDescent="0.25">
      <c r="I19" s="29" t="s">
        <v>58</v>
      </c>
      <c r="J19" s="29"/>
      <c r="K19" s="29"/>
    </row>
    <row r="20" spans="2:25" x14ac:dyDescent="0.25">
      <c r="I20" s="29" t="str">
        <f>'Revenue Forecast'!A30</f>
        <v>FY2018</v>
      </c>
      <c r="J20" s="6">
        <f>'Expense Forecast'!B19</f>
        <v>9103</v>
      </c>
      <c r="K20" s="6">
        <f>'Expense Forecast'!C19</f>
        <v>13243</v>
      </c>
      <c r="L20" s="6">
        <f>'Expense Forecast'!D19</f>
        <v>1432</v>
      </c>
      <c r="M20" s="6">
        <f>'Expense Forecast'!E19</f>
        <v>3905</v>
      </c>
      <c r="N20" s="6">
        <f>'Expense Forecast'!F19</f>
        <v>3700</v>
      </c>
      <c r="O20" s="6">
        <f>'Expense Forecast'!G19</f>
        <v>24837</v>
      </c>
      <c r="P20" s="6">
        <f>'Expense Forecast'!H19</f>
        <v>264</v>
      </c>
      <c r="Q20" s="6">
        <f>'Expense Forecast'!I19</f>
        <v>5934</v>
      </c>
      <c r="R20" s="6">
        <f>'Expense Forecast'!J19</f>
        <v>1209</v>
      </c>
      <c r="S20" s="6">
        <f>'Expense Forecast'!K19</f>
        <v>500</v>
      </c>
      <c r="T20" s="6">
        <f>'Expense Forecast'!L19</f>
        <v>936</v>
      </c>
      <c r="U20" s="6">
        <f>'Expense Forecast'!M19</f>
        <v>10000</v>
      </c>
      <c r="V20" s="6">
        <f>'Expense Forecast'!N19</f>
        <v>5000</v>
      </c>
      <c r="W20" s="6">
        <f>'Expense Forecast'!O19</f>
        <v>450</v>
      </c>
      <c r="X20" s="6">
        <f>'Expense Forecast'!P19</f>
        <v>0</v>
      </c>
      <c r="Y20" s="6">
        <f>SUM(J20:X20)</f>
        <v>80513</v>
      </c>
    </row>
    <row r="21" spans="2:25" x14ac:dyDescent="0.25">
      <c r="I21" s="29" t="str">
        <f>'Revenue Forecast'!A38</f>
        <v>FY2019</v>
      </c>
      <c r="J21" s="6">
        <f>'Expense Forecast'!B20</f>
        <v>9103</v>
      </c>
      <c r="K21" s="6">
        <f>'Expense Forecast'!C20</f>
        <v>13243</v>
      </c>
      <c r="L21" s="6">
        <f>'Expense Forecast'!D20</f>
        <v>1432</v>
      </c>
      <c r="M21" s="6">
        <f>'Expense Forecast'!E20</f>
        <v>3905</v>
      </c>
      <c r="N21" s="6">
        <f>'Expense Forecast'!F20</f>
        <v>3700</v>
      </c>
      <c r="O21" s="6">
        <f>'Expense Forecast'!G20</f>
        <v>29797</v>
      </c>
      <c r="P21" s="6">
        <f>'Expense Forecast'!H20</f>
        <v>264</v>
      </c>
      <c r="Q21" s="6">
        <f>'Expense Forecast'!I20</f>
        <v>5934</v>
      </c>
      <c r="R21" s="6">
        <f>'Expense Forecast'!J20</f>
        <v>1209</v>
      </c>
      <c r="S21" s="6">
        <f>'Expense Forecast'!K20</f>
        <v>500</v>
      </c>
      <c r="T21" s="6">
        <f>'Expense Forecast'!L20</f>
        <v>936</v>
      </c>
      <c r="U21" s="6">
        <f>'Expense Forecast'!M20</f>
        <v>15000</v>
      </c>
      <c r="V21" s="6">
        <f>'Expense Forecast'!N20</f>
        <v>5000</v>
      </c>
      <c r="W21" s="6">
        <f>'Expense Forecast'!O20</f>
        <v>450</v>
      </c>
      <c r="X21" s="6">
        <f>'Expense Forecast'!P20</f>
        <v>0</v>
      </c>
      <c r="Y21" s="6">
        <f t="shared" ref="Y21:Y24" si="1">SUM(J21:X21)</f>
        <v>90473</v>
      </c>
    </row>
    <row r="22" spans="2:25" x14ac:dyDescent="0.25">
      <c r="I22" s="29" t="str">
        <f>'Revenue Forecast'!A46</f>
        <v>FY2020</v>
      </c>
      <c r="J22" s="6">
        <f>'Expense Forecast'!B21</f>
        <v>9103</v>
      </c>
      <c r="K22" s="6">
        <f>'Expense Forecast'!C21</f>
        <v>13243</v>
      </c>
      <c r="L22" s="6">
        <f>'Expense Forecast'!D21</f>
        <v>1432</v>
      </c>
      <c r="M22" s="6">
        <f>'Expense Forecast'!E21</f>
        <v>3905</v>
      </c>
      <c r="N22" s="6">
        <f>'Expense Forecast'!F21</f>
        <v>3700</v>
      </c>
      <c r="O22" s="6">
        <f>'Expense Forecast'!G21</f>
        <v>34757</v>
      </c>
      <c r="P22" s="6">
        <f>'Expense Forecast'!H21</f>
        <v>264</v>
      </c>
      <c r="Q22" s="6">
        <f>'Expense Forecast'!I21</f>
        <v>5934</v>
      </c>
      <c r="R22" s="6">
        <f>'Expense Forecast'!J21</f>
        <v>1209</v>
      </c>
      <c r="S22" s="6">
        <f>'Expense Forecast'!K21</f>
        <v>500</v>
      </c>
      <c r="T22" s="6">
        <f>'Expense Forecast'!L21</f>
        <v>936</v>
      </c>
      <c r="U22" s="6">
        <f>'Expense Forecast'!M21</f>
        <v>20000</v>
      </c>
      <c r="V22" s="6">
        <f>'Expense Forecast'!N21</f>
        <v>5000</v>
      </c>
      <c r="W22" s="6">
        <f>'Expense Forecast'!O21</f>
        <v>450</v>
      </c>
      <c r="X22" s="6">
        <f>'Expense Forecast'!P21</f>
        <v>0</v>
      </c>
      <c r="Y22" s="6">
        <f t="shared" si="1"/>
        <v>100433</v>
      </c>
    </row>
    <row r="23" spans="2:25" x14ac:dyDescent="0.25">
      <c r="I23" s="29" t="str">
        <f>'Revenue Forecast'!A54</f>
        <v>FY2021</v>
      </c>
      <c r="J23" s="6">
        <f>'Expense Forecast'!B22</f>
        <v>9103</v>
      </c>
      <c r="K23" s="6">
        <f>'Expense Forecast'!C22</f>
        <v>13243</v>
      </c>
      <c r="L23" s="6">
        <f>'Expense Forecast'!D22</f>
        <v>1432</v>
      </c>
      <c r="M23" s="6">
        <f>'Expense Forecast'!E22</f>
        <v>3905</v>
      </c>
      <c r="N23" s="6">
        <f>'Expense Forecast'!F22</f>
        <v>3700</v>
      </c>
      <c r="O23" s="6">
        <f>'Expense Forecast'!G22</f>
        <v>39717</v>
      </c>
      <c r="P23" s="6">
        <f>'Expense Forecast'!H22</f>
        <v>264</v>
      </c>
      <c r="Q23" s="6">
        <f>'Expense Forecast'!I22</f>
        <v>5934</v>
      </c>
      <c r="R23" s="6">
        <f>'Expense Forecast'!J22</f>
        <v>1209</v>
      </c>
      <c r="S23" s="6">
        <f>'Expense Forecast'!K22</f>
        <v>500</v>
      </c>
      <c r="T23" s="6">
        <f>'Expense Forecast'!L22</f>
        <v>936</v>
      </c>
      <c r="U23" s="6">
        <f>'Expense Forecast'!M22</f>
        <v>20000</v>
      </c>
      <c r="V23" s="6">
        <f>'Expense Forecast'!N22</f>
        <v>5000</v>
      </c>
      <c r="W23" s="6">
        <f>'Expense Forecast'!O22</f>
        <v>450</v>
      </c>
      <c r="X23" s="6">
        <f>'Expense Forecast'!P22</f>
        <v>0</v>
      </c>
      <c r="Y23" s="6">
        <f t="shared" si="1"/>
        <v>105393</v>
      </c>
    </row>
    <row r="24" spans="2:25" x14ac:dyDescent="0.25">
      <c r="I24" s="29" t="str">
        <f>'Revenue Forecast'!A62</f>
        <v>FY2022</v>
      </c>
      <c r="J24" s="6">
        <f>'Expense Forecast'!B23</f>
        <v>9103</v>
      </c>
      <c r="K24" s="6">
        <f>'Expense Forecast'!C23</f>
        <v>13243</v>
      </c>
      <c r="L24" s="6">
        <f>'Expense Forecast'!D23</f>
        <v>1432</v>
      </c>
      <c r="M24" s="6">
        <f>'Expense Forecast'!E23</f>
        <v>3905</v>
      </c>
      <c r="N24" s="6">
        <f>'Expense Forecast'!F23</f>
        <v>3700</v>
      </c>
      <c r="O24" s="6">
        <f>'Expense Forecast'!G23</f>
        <v>44677</v>
      </c>
      <c r="P24" s="6">
        <f>'Expense Forecast'!H23</f>
        <v>264</v>
      </c>
      <c r="Q24" s="6">
        <f>'Expense Forecast'!I23</f>
        <v>5934</v>
      </c>
      <c r="R24" s="6">
        <f>'Expense Forecast'!J23</f>
        <v>1209</v>
      </c>
      <c r="S24" s="6">
        <f>'Expense Forecast'!K23</f>
        <v>500</v>
      </c>
      <c r="T24" s="6">
        <f>'Expense Forecast'!L23</f>
        <v>936</v>
      </c>
      <c r="U24" s="6">
        <f>'Expense Forecast'!M23</f>
        <v>20000</v>
      </c>
      <c r="V24" s="6">
        <f>'Expense Forecast'!N23</f>
        <v>5000</v>
      </c>
      <c r="W24" s="6">
        <f>'Expense Forecast'!O23</f>
        <v>450</v>
      </c>
      <c r="X24" s="6">
        <f>'Expense Forecast'!P23</f>
        <v>0</v>
      </c>
      <c r="Y24" s="6">
        <f t="shared" si="1"/>
        <v>110353</v>
      </c>
    </row>
    <row r="25" spans="2:25" x14ac:dyDescent="0.25">
      <c r="I25" s="4" t="str">
        <f>'Revenue Forecast'!A71</f>
        <v>FY2023 to FY2038</v>
      </c>
      <c r="J25" s="6">
        <f>'Expense Forecast'!B25</f>
        <v>9103</v>
      </c>
      <c r="K25" s="6">
        <f>'Expense Forecast'!C25</f>
        <v>13243</v>
      </c>
      <c r="L25" s="6">
        <f>'Expense Forecast'!D25</f>
        <v>1432</v>
      </c>
      <c r="M25" s="6">
        <f>'Expense Forecast'!E25</f>
        <v>3905</v>
      </c>
      <c r="N25" s="6">
        <f>'Expense Forecast'!F25</f>
        <v>3700</v>
      </c>
      <c r="O25" s="6">
        <f>'Expense Forecast'!G25</f>
        <v>44677</v>
      </c>
      <c r="P25" s="6">
        <f>'Expense Forecast'!H25</f>
        <v>264</v>
      </c>
      <c r="Q25" s="6">
        <f>'Expense Forecast'!I25</f>
        <v>5934</v>
      </c>
      <c r="R25" s="6">
        <f>'Expense Forecast'!J25</f>
        <v>1209</v>
      </c>
      <c r="S25" s="6">
        <f>'Expense Forecast'!K25</f>
        <v>500</v>
      </c>
      <c r="T25" s="6">
        <f>'Expense Forecast'!L25</f>
        <v>936</v>
      </c>
      <c r="U25" s="6">
        <f>'Expense Forecast'!M25</f>
        <v>20000</v>
      </c>
      <c r="V25" s="6">
        <f>'Expense Forecast'!N25</f>
        <v>5000</v>
      </c>
      <c r="W25" s="6">
        <f>'Expense Forecast'!O25</f>
        <v>450</v>
      </c>
      <c r="X25" s="6">
        <f>'Expense Forecast'!P25</f>
        <v>0</v>
      </c>
      <c r="Y25" s="6">
        <f t="shared" ref="Y25" si="2">SUM(J25:X25)</f>
        <v>110353</v>
      </c>
    </row>
    <row r="30" spans="2:25" x14ac:dyDescent="0.25">
      <c r="B30" t="str">
        <f>"FY2020 Revenue Breakout - Total $" &amp;TEXT('Revenue Forecast'!L52,"#,0")</f>
        <v>FY2020 Revenue Breakout - Total $86,629</v>
      </c>
    </row>
  </sheetData>
  <pageMargins left="0.7" right="0.7" top="0.75" bottom="0.75" header="0.3" footer="0.3"/>
  <pageSetup paperSize="5" orientation="portrait" r:id="rId1"/>
  <headerFooter>
    <oddFooter>&amp;L&amp;F&amp;R&amp;A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/>
  </sheetViews>
  <sheetFormatPr defaultRowHeight="15" x14ac:dyDescent="0.25"/>
  <cols>
    <col min="1" max="7" width="12.7109375" customWidth="1"/>
    <col min="8" max="8" width="14.7109375" customWidth="1"/>
    <col min="9" max="32" width="12.7109375" customWidth="1"/>
  </cols>
  <sheetData/>
  <printOptions horizontalCentered="1" verticalCentered="1"/>
  <pageMargins left="0" right="0" top="0" bottom="0" header="0.3" footer="0"/>
  <pageSetup paperSize="5" orientation="portrait" r:id="rId1"/>
  <headerFooter>
    <oddFooter>&amp;L&amp;F&amp;R&amp;A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69" sqref="K69"/>
    </sheetView>
  </sheetViews>
  <sheetFormatPr defaultRowHeight="15" x14ac:dyDescent="0.25"/>
  <cols>
    <col min="1" max="7" width="12.7109375" customWidth="1"/>
    <col min="8" max="8" width="14.7109375" customWidth="1"/>
    <col min="9" max="32" width="12.7109375" customWidth="1"/>
  </cols>
  <sheetData/>
  <printOptions horizontalCentered="1" verticalCentered="1"/>
  <pageMargins left="0" right="0" top="0" bottom="0" header="0.3" footer="0"/>
  <pageSetup paperSize="5" orientation="portrait" r:id="rId1"/>
  <headerFooter>
    <oddFooter>&amp;L&amp;F&amp;R&amp;A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Revenue Forecast</vt:lpstr>
      <vt:lpstr>Expense Forecast</vt:lpstr>
      <vt:lpstr>Graphs</vt:lpstr>
      <vt:lpstr>2018 Floor Plans</vt:lpstr>
      <vt:lpstr>2016 Floor Plans</vt:lpstr>
      <vt:lpstr>Chart1</vt:lpstr>
      <vt:lpstr>Chart2</vt:lpstr>
      <vt:lpstr>'Revenue Forecast'!Print_Titles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2016-05-22T13:14:13Z</dcterms:modified>
</cp:coreProperties>
</file>