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Bruce H. Easom\Desktop\"/>
    </mc:Choice>
  </mc:AlternateContent>
  <xr:revisionPtr revIDLastSave="0" documentId="8_{31EA3951-1816-4D33-80FF-4101E0BFFBAD}" xr6:coauthVersionLast="47" xr6:coauthVersionMax="47" xr10:uidLastSave="{00000000-0000-0000-0000-000000000000}"/>
  <bookViews>
    <workbookView xWindow="-120" yWindow="-120" windowWidth="24240" windowHeight="13140" tabRatio="698" xr2:uid="{00000000-000D-0000-FFFF-FFFF00000000}"/>
  </bookViews>
  <sheets>
    <sheet name="Forecast FY27" sheetId="45" r:id="rId1"/>
    <sheet name="Forecast FY26" sheetId="44" r:id="rId2"/>
    <sheet name="FY25" sheetId="43" r:id="rId3"/>
    <sheet name="FY24" sheetId="42" r:id="rId4"/>
    <sheet name="FY23" sheetId="41" r:id="rId5"/>
    <sheet name="FY22" sheetId="32" r:id="rId6"/>
    <sheet name="FY21" sheetId="31" r:id="rId7"/>
    <sheet name="FY20" sheetId="30" r:id="rId8"/>
    <sheet name="FY19" sheetId="29" r:id="rId9"/>
    <sheet name="FY18" sheetId="28" r:id="rId10"/>
    <sheet name="FY17" sheetId="26" r:id="rId11"/>
    <sheet name="FY16" sheetId="25" r:id="rId12"/>
    <sheet name="FY15" sheetId="24" r:id="rId13"/>
    <sheet name="FY14" sheetId="23" r:id="rId14"/>
    <sheet name="FY13" sheetId="22" r:id="rId15"/>
    <sheet name="FY12" sheetId="15" r:id="rId16"/>
    <sheet name="FY11" sheetId="11" r:id="rId17"/>
    <sheet name="FY10" sheetId="9" r:id="rId18"/>
    <sheet name="FY09" sheetId="40" r:id="rId19"/>
    <sheet name="FY08" sheetId="39" r:id="rId20"/>
    <sheet name="FY07" sheetId="38" r:id="rId21"/>
    <sheet name="FY06" sheetId="37" r:id="rId22"/>
    <sheet name="Accounting Principals" sheetId="12" r:id="rId23"/>
  </sheets>
  <definedNames>
    <definedName name="_xlnm.Print_Area" localSheetId="15">'FY12'!$D$7:$Z$115</definedName>
    <definedName name="_xlnm.Print_Area" localSheetId="14">'FY13'!$D$7:$Z$114</definedName>
    <definedName name="_xlnm.Print_Area" localSheetId="13">'FY14'!$D$7:$Z$102</definedName>
    <definedName name="_xlnm.Print_Area" localSheetId="11">'FY16'!$D$7:$Z$112</definedName>
    <definedName name="_xlnm.Print_Area" localSheetId="10">'FY17'!$D$7:$Z$104</definedName>
    <definedName name="_xlnm.Print_Area" localSheetId="9">'FY18'!$D$7:$Z$124</definedName>
    <definedName name="_xlnm.Print_Area" localSheetId="8">'FY19'!$D$7:$Z$103</definedName>
    <definedName name="_xlnm.Print_Titles" localSheetId="1">'Forecast FY26'!$A:$B,'Forecast FY26'!$1:$6</definedName>
    <definedName name="_xlnm.Print_Titles" localSheetId="0">'Forecast FY27'!$A:$B,'Forecast FY27'!$1:$6</definedName>
    <definedName name="_xlnm.Print_Titles" localSheetId="21">'FY06'!$A:$B,'FY06'!$1:$6</definedName>
    <definedName name="_xlnm.Print_Titles" localSheetId="20">'FY07'!$A:$B,'FY07'!$1:$6</definedName>
    <definedName name="_xlnm.Print_Titles" localSheetId="19">'FY08'!$A:$B,'FY08'!$1:$6</definedName>
    <definedName name="_xlnm.Print_Titles" localSheetId="18">'FY09'!$A:$B,'FY09'!$1:$6</definedName>
    <definedName name="_xlnm.Print_Titles" localSheetId="17">'FY10'!$A:$B,'FY10'!$1:$6</definedName>
    <definedName name="_xlnm.Print_Titles" localSheetId="16">'FY11'!$A:$B,'FY11'!$1:$6</definedName>
    <definedName name="_xlnm.Print_Titles" localSheetId="15">'FY12'!$A:$B,'FY12'!$1:$6</definedName>
    <definedName name="_xlnm.Print_Titles" localSheetId="14">'FY13'!$A:$B,'FY13'!$1:$6</definedName>
    <definedName name="_xlnm.Print_Titles" localSheetId="13">'FY14'!$A:$B,'FY14'!$1:$6</definedName>
    <definedName name="_xlnm.Print_Titles" localSheetId="12">'FY15'!$A:$B,'FY15'!$1:$6</definedName>
    <definedName name="_xlnm.Print_Titles" localSheetId="11">'FY16'!$A:$B,'FY16'!$1:$6</definedName>
    <definedName name="_xlnm.Print_Titles" localSheetId="10">'FY17'!$A:$B,'FY17'!$1:$6</definedName>
    <definedName name="_xlnm.Print_Titles" localSheetId="9">'FY18'!$A:$B,'FY18'!$1:$6</definedName>
    <definedName name="_xlnm.Print_Titles" localSheetId="8">'FY19'!$A:$B,'FY19'!$1:$6</definedName>
    <definedName name="_xlnm.Print_Titles" localSheetId="7">'FY20'!$A:$B,'FY20'!$1:$6</definedName>
    <definedName name="_xlnm.Print_Titles" localSheetId="6">'FY21'!$A:$B,'FY21'!$1:$6</definedName>
    <definedName name="_xlnm.Print_Titles" localSheetId="5">'FY22'!$A:$B,'FY22'!$1:$6</definedName>
    <definedName name="_xlnm.Print_Titles" localSheetId="4">'FY23'!$A:$B,'FY23'!$1:$6</definedName>
    <definedName name="_xlnm.Print_Titles" localSheetId="3">'FY24'!$A:$B,'FY24'!$1:$6</definedName>
    <definedName name="_xlnm.Print_Titles" localSheetId="2">'FY25'!$A:$B,'FY25'!$1:$6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45" l="1"/>
  <c r="R20" i="45" s="1"/>
  <c r="Z20" i="45" s="1"/>
  <c r="E12" i="45"/>
  <c r="Z35" i="44"/>
  <c r="Y35" i="44"/>
  <c r="X35" i="44"/>
  <c r="U37" i="44"/>
  <c r="T37" i="44"/>
  <c r="D37" i="44"/>
  <c r="E37" i="44"/>
  <c r="H37" i="44"/>
  <c r="I37" i="44"/>
  <c r="L37" i="44"/>
  <c r="M37" i="44"/>
  <c r="Q37" i="44"/>
  <c r="P37" i="44"/>
  <c r="P63" i="44"/>
  <c r="P46" i="44"/>
  <c r="Q36" i="44"/>
  <c r="R36" i="44" s="1"/>
  <c r="Q35" i="44"/>
  <c r="R35" i="44" s="1"/>
  <c r="E87" i="45"/>
  <c r="E82" i="45"/>
  <c r="E81" i="45"/>
  <c r="R76" i="45"/>
  <c r="N76" i="45"/>
  <c r="J76" i="45"/>
  <c r="F76" i="45"/>
  <c r="U60" i="45"/>
  <c r="P60" i="45"/>
  <c r="U58" i="45"/>
  <c r="R58" i="45"/>
  <c r="Q58" i="45"/>
  <c r="P58" i="45"/>
  <c r="M58" i="45"/>
  <c r="N58" i="45" s="1"/>
  <c r="L58" i="45"/>
  <c r="I58" i="45"/>
  <c r="H58" i="45"/>
  <c r="E58" i="45"/>
  <c r="Y58" i="45" s="1"/>
  <c r="D58" i="45"/>
  <c r="F58" i="45" s="1"/>
  <c r="Y57" i="45"/>
  <c r="T57" i="45"/>
  <c r="X57" i="45" s="1"/>
  <c r="R57" i="45"/>
  <c r="V54" i="45"/>
  <c r="U54" i="45"/>
  <c r="T54" i="45"/>
  <c r="P54" i="45"/>
  <c r="L54" i="45"/>
  <c r="L60" i="45" s="1"/>
  <c r="H54" i="45"/>
  <c r="H60" i="45" s="1"/>
  <c r="D54" i="45"/>
  <c r="D60" i="45" s="1"/>
  <c r="X53" i="45"/>
  <c r="M53" i="45"/>
  <c r="N53" i="45" s="1"/>
  <c r="I53" i="45"/>
  <c r="J53" i="45" s="1"/>
  <c r="E53" i="45"/>
  <c r="X52" i="45"/>
  <c r="N52" i="45"/>
  <c r="M52" i="45"/>
  <c r="I52" i="45"/>
  <c r="J52" i="45" s="1"/>
  <c r="F52" i="45"/>
  <c r="E52" i="45"/>
  <c r="Q52" i="45" s="1"/>
  <c r="X51" i="45"/>
  <c r="M51" i="45"/>
  <c r="N51" i="45" s="1"/>
  <c r="I51" i="45"/>
  <c r="J51" i="45" s="1"/>
  <c r="E51" i="45"/>
  <c r="E54" i="45" s="1"/>
  <c r="U43" i="45"/>
  <c r="T43" i="45"/>
  <c r="V43" i="45" s="1"/>
  <c r="Q43" i="45"/>
  <c r="P43" i="45"/>
  <c r="R43" i="45" s="1"/>
  <c r="N43" i="45"/>
  <c r="M43" i="45"/>
  <c r="L43" i="45"/>
  <c r="I43" i="45"/>
  <c r="Y43" i="45" s="1"/>
  <c r="H43" i="45"/>
  <c r="J43" i="45" s="1"/>
  <c r="E43" i="45"/>
  <c r="D43" i="45"/>
  <c r="X43" i="45" s="1"/>
  <c r="Y42" i="45"/>
  <c r="X42" i="45"/>
  <c r="Z42" i="45" s="1"/>
  <c r="V42" i="45"/>
  <c r="R42" i="45"/>
  <c r="N42" i="45"/>
  <c r="J42" i="45"/>
  <c r="F42" i="45"/>
  <c r="T37" i="45"/>
  <c r="P37" i="45"/>
  <c r="R37" i="45" s="1"/>
  <c r="N37" i="45"/>
  <c r="M37" i="45"/>
  <c r="L37" i="45"/>
  <c r="I37" i="45"/>
  <c r="H37" i="45"/>
  <c r="J37" i="45" s="1"/>
  <c r="E37" i="45"/>
  <c r="D37" i="45"/>
  <c r="F37" i="45" s="1"/>
  <c r="Y36" i="45"/>
  <c r="X36" i="45"/>
  <c r="Z36" i="45" s="1"/>
  <c r="V36" i="45"/>
  <c r="U36" i="45"/>
  <c r="R36" i="45"/>
  <c r="Q36" i="45"/>
  <c r="Q37" i="45" s="1"/>
  <c r="X35" i="45"/>
  <c r="U35" i="45"/>
  <c r="Y35" i="45" s="1"/>
  <c r="Y34" i="45"/>
  <c r="X34" i="45"/>
  <c r="X37" i="45" s="1"/>
  <c r="V34" i="45"/>
  <c r="U34" i="45"/>
  <c r="U37" i="45" s="1"/>
  <c r="U31" i="45"/>
  <c r="T31" i="45"/>
  <c r="V31" i="45" s="1"/>
  <c r="R31" i="45"/>
  <c r="Q31" i="45"/>
  <c r="P31" i="45"/>
  <c r="M31" i="45"/>
  <c r="N31" i="45" s="1"/>
  <c r="L31" i="45"/>
  <c r="I31" i="45"/>
  <c r="H31" i="45"/>
  <c r="J31" i="45" s="1"/>
  <c r="E31" i="45"/>
  <c r="D31" i="45"/>
  <c r="F31" i="45" s="1"/>
  <c r="Y30" i="45"/>
  <c r="X30" i="45"/>
  <c r="Z30" i="45" s="1"/>
  <c r="R30" i="45"/>
  <c r="Y29" i="45"/>
  <c r="X29" i="45"/>
  <c r="Z29" i="45" s="1"/>
  <c r="V29" i="45"/>
  <c r="Z28" i="45"/>
  <c r="Y28" i="45"/>
  <c r="Y31" i="45" s="1"/>
  <c r="X28" i="45"/>
  <c r="V28" i="45"/>
  <c r="U25" i="45"/>
  <c r="T25" i="45"/>
  <c r="V25" i="45" s="1"/>
  <c r="Q25" i="45"/>
  <c r="P25" i="45"/>
  <c r="R25" i="45" s="1"/>
  <c r="M25" i="45"/>
  <c r="L25" i="45"/>
  <c r="N25" i="45" s="1"/>
  <c r="J25" i="45"/>
  <c r="I25" i="45"/>
  <c r="H25" i="45"/>
  <c r="X25" i="45" s="1"/>
  <c r="E25" i="45"/>
  <c r="Y25" i="45" s="1"/>
  <c r="D25" i="45"/>
  <c r="Z24" i="45"/>
  <c r="Y24" i="45"/>
  <c r="X24" i="45"/>
  <c r="U21" i="45"/>
  <c r="T21" i="45"/>
  <c r="V21" i="45" s="1"/>
  <c r="P21" i="45"/>
  <c r="M21" i="45"/>
  <c r="L21" i="45"/>
  <c r="N21" i="45" s="1"/>
  <c r="I21" i="45"/>
  <c r="J21" i="45" s="1"/>
  <c r="H21" i="45"/>
  <c r="F21" i="45"/>
  <c r="E21" i="45"/>
  <c r="D21" i="45"/>
  <c r="Y20" i="45"/>
  <c r="X20" i="45"/>
  <c r="Q20" i="45"/>
  <c r="X19" i="45"/>
  <c r="V19" i="45"/>
  <c r="Q19" i="45"/>
  <c r="Y19" i="45" s="1"/>
  <c r="X18" i="45"/>
  <c r="V18" i="45"/>
  <c r="Q18" i="45"/>
  <c r="Y18" i="45" s="1"/>
  <c r="U15" i="45"/>
  <c r="T15" i="45"/>
  <c r="V15" i="45" s="1"/>
  <c r="P15" i="45"/>
  <c r="L15" i="45"/>
  <c r="H15" i="45"/>
  <c r="X15" i="45" s="1"/>
  <c r="D15" i="45"/>
  <c r="X14" i="45"/>
  <c r="M14" i="45"/>
  <c r="N14" i="45" s="1"/>
  <c r="I14" i="45"/>
  <c r="J14" i="45" s="1"/>
  <c r="E14" i="45"/>
  <c r="Q14" i="45" s="1"/>
  <c r="R14" i="45" s="1"/>
  <c r="Y13" i="45"/>
  <c r="X13" i="45"/>
  <c r="R13" i="45"/>
  <c r="N13" i="45"/>
  <c r="J13" i="45"/>
  <c r="F13" i="45"/>
  <c r="Z13" i="45" s="1"/>
  <c r="X12" i="45"/>
  <c r="M12" i="45"/>
  <c r="N12" i="45" s="1"/>
  <c r="I12" i="45"/>
  <c r="J12" i="45" s="1"/>
  <c r="Y11" i="45"/>
  <c r="X11" i="45"/>
  <c r="R11" i="45"/>
  <c r="N11" i="45"/>
  <c r="J11" i="45"/>
  <c r="F11" i="45"/>
  <c r="Z11" i="45" s="1"/>
  <c r="X10" i="45"/>
  <c r="M10" i="45"/>
  <c r="M15" i="45" s="1"/>
  <c r="N15" i="45" s="1"/>
  <c r="I10" i="45"/>
  <c r="I15" i="45" s="1"/>
  <c r="J15" i="45" s="1"/>
  <c r="E10" i="45"/>
  <c r="X31" i="45" l="1"/>
  <c r="Z31" i="45" s="1"/>
  <c r="X21" i="45"/>
  <c r="R19" i="45"/>
  <c r="Z19" i="45" s="1"/>
  <c r="Q21" i="45"/>
  <c r="Y21" i="45" s="1"/>
  <c r="R18" i="45"/>
  <c r="Z18" i="45" s="1"/>
  <c r="E15" i="45"/>
  <c r="F54" i="45"/>
  <c r="E60" i="45"/>
  <c r="R52" i="45"/>
  <c r="Y52" i="45"/>
  <c r="F15" i="45"/>
  <c r="Z35" i="45"/>
  <c r="Y37" i="45"/>
  <c r="V37" i="45"/>
  <c r="Z43" i="45"/>
  <c r="Z52" i="45"/>
  <c r="F60" i="45"/>
  <c r="X58" i="45"/>
  <c r="Z37" i="45"/>
  <c r="Q12" i="45"/>
  <c r="R12" i="45" s="1"/>
  <c r="Q53" i="45"/>
  <c r="R53" i="45" s="1"/>
  <c r="M54" i="45"/>
  <c r="M60" i="45" s="1"/>
  <c r="N60" i="45" s="1"/>
  <c r="X54" i="45"/>
  <c r="F10" i="45"/>
  <c r="N10" i="45"/>
  <c r="F14" i="45"/>
  <c r="Z14" i="45" s="1"/>
  <c r="Y14" i="45"/>
  <c r="F25" i="45"/>
  <c r="Z25" i="45" s="1"/>
  <c r="V35" i="45"/>
  <c r="F51" i="45"/>
  <c r="Y51" i="45"/>
  <c r="I54" i="45"/>
  <c r="I60" i="45" s="1"/>
  <c r="J60" i="45" s="1"/>
  <c r="N54" i="45"/>
  <c r="V57" i="45"/>
  <c r="Z57" i="45" s="1"/>
  <c r="T58" i="45"/>
  <c r="V58" i="45" s="1"/>
  <c r="Z58" i="45" s="1"/>
  <c r="Q10" i="45"/>
  <c r="Y10" i="45" s="1"/>
  <c r="F43" i="45"/>
  <c r="Q51" i="45"/>
  <c r="J54" i="45"/>
  <c r="J58" i="45"/>
  <c r="J10" i="45"/>
  <c r="F12" i="45"/>
  <c r="Z34" i="45"/>
  <c r="F53" i="45"/>
  <c r="R21" i="45" l="1"/>
  <c r="Z21" i="45" s="1"/>
  <c r="Y53" i="45"/>
  <c r="Z12" i="45"/>
  <c r="E84" i="45" s="1"/>
  <c r="Q54" i="45"/>
  <c r="R51" i="45"/>
  <c r="Z51" i="45" s="1"/>
  <c r="Y12" i="45"/>
  <c r="T60" i="45"/>
  <c r="R10" i="45"/>
  <c r="Q15" i="45"/>
  <c r="Z53" i="45"/>
  <c r="E89" i="45" s="1"/>
  <c r="Z10" i="45"/>
  <c r="E83" i="45" l="1"/>
  <c r="E88" i="45"/>
  <c r="R15" i="45"/>
  <c r="Z15" i="45" s="1"/>
  <c r="Y15" i="45"/>
  <c r="V60" i="45"/>
  <c r="X60" i="45"/>
  <c r="R54" i="45"/>
  <c r="Z54" i="45" s="1"/>
  <c r="Q60" i="45"/>
  <c r="Y54" i="45"/>
  <c r="R60" i="45" l="1"/>
  <c r="Z60" i="45" s="1"/>
  <c r="Y60" i="45"/>
  <c r="Y43" i="44" l="1"/>
  <c r="X43" i="44"/>
  <c r="R43" i="44"/>
  <c r="Z43" i="44" l="1"/>
  <c r="R42" i="44"/>
  <c r="Y42" i="44"/>
  <c r="X42" i="44"/>
  <c r="Z42" i="44" l="1"/>
  <c r="P22" i="44"/>
  <c r="Q99" i="43" l="1"/>
  <c r="Q100" i="43"/>
  <c r="P24" i="44"/>
  <c r="P80" i="43"/>
  <c r="L22" i="44"/>
  <c r="M102" i="43"/>
  <c r="N102" i="43" s="1"/>
  <c r="Y48" i="44" l="1"/>
  <c r="X48" i="44"/>
  <c r="R48" i="44"/>
  <c r="Z48" i="44" l="1"/>
  <c r="Y45" i="44"/>
  <c r="X45" i="44"/>
  <c r="R45" i="44"/>
  <c r="Z45" i="44" l="1"/>
  <c r="Y47" i="44"/>
  <c r="X47" i="44"/>
  <c r="R47" i="44"/>
  <c r="Z47" i="44" l="1"/>
  <c r="Y52" i="44"/>
  <c r="X52" i="44"/>
  <c r="R52" i="44"/>
  <c r="Z52" i="44" l="1"/>
  <c r="Q78" i="43"/>
  <c r="R78" i="43" s="1"/>
  <c r="R116" i="44"/>
  <c r="Y50" i="44"/>
  <c r="X50" i="44"/>
  <c r="N50" i="44"/>
  <c r="N110" i="44"/>
  <c r="H31" i="44"/>
  <c r="H27" i="44"/>
  <c r="H30" i="44"/>
  <c r="Y54" i="44"/>
  <c r="X54" i="44"/>
  <c r="J54" i="44"/>
  <c r="Y53" i="44"/>
  <c r="X53" i="44"/>
  <c r="J53" i="44"/>
  <c r="Y51" i="44"/>
  <c r="X51" i="44"/>
  <c r="J51" i="44"/>
  <c r="Y49" i="44"/>
  <c r="X49" i="44"/>
  <c r="J49" i="44"/>
  <c r="J115" i="44"/>
  <c r="J116" i="44" s="1"/>
  <c r="F44" i="44"/>
  <c r="Y44" i="44"/>
  <c r="X44" i="44"/>
  <c r="F110" i="44"/>
  <c r="Q110" i="43"/>
  <c r="Q109" i="43"/>
  <c r="Q105" i="43"/>
  <c r="Q103" i="43"/>
  <c r="Q102" i="43"/>
  <c r="P101" i="43"/>
  <c r="Q101" i="43" s="1"/>
  <c r="M103" i="43"/>
  <c r="I112" i="43"/>
  <c r="I111" i="43"/>
  <c r="I108" i="43"/>
  <c r="I107" i="43"/>
  <c r="E106" i="43"/>
  <c r="E104" i="43"/>
  <c r="R100" i="43"/>
  <c r="R99" i="43"/>
  <c r="X69" i="43"/>
  <c r="Q69" i="43"/>
  <c r="Y69" i="43" s="1"/>
  <c r="M72" i="43"/>
  <c r="N72" i="43" s="1"/>
  <c r="X71" i="43"/>
  <c r="E71" i="43"/>
  <c r="F71" i="43" s="1"/>
  <c r="D73" i="43"/>
  <c r="I68" i="43"/>
  <c r="J68" i="43" s="1"/>
  <c r="X68" i="43"/>
  <c r="Z50" i="44" l="1"/>
  <c r="Q113" i="43"/>
  <c r="Z51" i="44"/>
  <c r="Z49" i="44"/>
  <c r="Z54" i="44"/>
  <c r="Z53" i="44"/>
  <c r="Z44" i="44"/>
  <c r="R69" i="43"/>
  <c r="Y71" i="43"/>
  <c r="Z71" i="43" s="1"/>
  <c r="Y68" i="43"/>
  <c r="Z68" i="43" s="1"/>
  <c r="Z69" i="43"/>
  <c r="X70" i="43" l="1"/>
  <c r="Q70" i="43"/>
  <c r="Y70" i="43" s="1"/>
  <c r="Z70" i="43" l="1"/>
  <c r="R70" i="43"/>
  <c r="P47" i="43"/>
  <c r="D38" i="42" l="1"/>
  <c r="U33" i="41" l="1"/>
  <c r="T33" i="41"/>
  <c r="M33" i="41"/>
  <c r="L33" i="41"/>
  <c r="H33" i="41"/>
  <c r="E33" i="41"/>
  <c r="D33" i="41"/>
  <c r="X31" i="41"/>
  <c r="Q31" i="41"/>
  <c r="Y31" i="41" s="1"/>
  <c r="R31" i="41" l="1"/>
  <c r="Z31" i="41" s="1"/>
  <c r="Y72" i="43" l="1"/>
  <c r="X72" i="43"/>
  <c r="Z72" i="43" l="1"/>
  <c r="P73" i="43"/>
  <c r="T67" i="43"/>
  <c r="X67" i="43" s="1"/>
  <c r="H73" i="43"/>
  <c r="I73" i="43"/>
  <c r="L73" i="43"/>
  <c r="M73" i="43"/>
  <c r="T66" i="43"/>
  <c r="Q66" i="43" s="1"/>
  <c r="R66" i="43" s="1"/>
  <c r="Q67" i="43" l="1"/>
  <c r="Y67" i="43" s="1"/>
  <c r="Z67" i="43" s="1"/>
  <c r="V67" i="43"/>
  <c r="T73" i="43"/>
  <c r="Q73" i="43" l="1"/>
  <c r="R67" i="43"/>
  <c r="M10" i="43"/>
  <c r="I10" i="43"/>
  <c r="E10" i="43"/>
  <c r="M14" i="43"/>
  <c r="I14" i="43"/>
  <c r="E14" i="43"/>
  <c r="Q14" i="43" s="1"/>
  <c r="Q10" i="43" l="1"/>
  <c r="N55" i="44"/>
  <c r="P21" i="44"/>
  <c r="M21" i="44" l="1"/>
  <c r="T92" i="44"/>
  <c r="Q24" i="44"/>
  <c r="Y24" i="44" s="1"/>
  <c r="X80" i="43"/>
  <c r="D85" i="43"/>
  <c r="Q80" i="43"/>
  <c r="R80" i="43" s="1"/>
  <c r="M22" i="44"/>
  <c r="M78" i="43"/>
  <c r="N78" i="43" s="1"/>
  <c r="X79" i="43"/>
  <c r="E79" i="43"/>
  <c r="Y79" i="43" s="1"/>
  <c r="X83" i="43"/>
  <c r="X82" i="43"/>
  <c r="X81" i="43"/>
  <c r="X78" i="43"/>
  <c r="H26" i="44"/>
  <c r="I26" i="44" s="1"/>
  <c r="I83" i="43"/>
  <c r="J83" i="43" s="1"/>
  <c r="I82" i="43"/>
  <c r="J82" i="43" s="1"/>
  <c r="I81" i="43"/>
  <c r="J81" i="43" s="1"/>
  <c r="D23" i="44"/>
  <c r="U85" i="43"/>
  <c r="T85" i="43"/>
  <c r="P85" i="43"/>
  <c r="L85" i="43"/>
  <c r="H85" i="43"/>
  <c r="M94" i="43"/>
  <c r="M93" i="43"/>
  <c r="I94" i="43"/>
  <c r="I93" i="43"/>
  <c r="E94" i="43"/>
  <c r="E93" i="43"/>
  <c r="U113" i="43"/>
  <c r="T113" i="43"/>
  <c r="M113" i="43"/>
  <c r="L113" i="43"/>
  <c r="I113" i="43"/>
  <c r="H113" i="43"/>
  <c r="E113" i="43"/>
  <c r="D113" i="43"/>
  <c r="Y112" i="43"/>
  <c r="X112" i="43"/>
  <c r="J112" i="43"/>
  <c r="Z112" i="43" s="1"/>
  <c r="Y111" i="43"/>
  <c r="X111" i="43"/>
  <c r="J111" i="43"/>
  <c r="Z111" i="43" s="1"/>
  <c r="Y110" i="43"/>
  <c r="X110" i="43"/>
  <c r="R110" i="43"/>
  <c r="Z110" i="43" s="1"/>
  <c r="Y109" i="43"/>
  <c r="X109" i="43"/>
  <c r="R109" i="43"/>
  <c r="Z109" i="43" s="1"/>
  <c r="Y108" i="43"/>
  <c r="X108" i="43"/>
  <c r="J108" i="43"/>
  <c r="Z108" i="43" s="1"/>
  <c r="Y107" i="43"/>
  <c r="X107" i="43"/>
  <c r="J107" i="43"/>
  <c r="Z107" i="43" s="1"/>
  <c r="Y106" i="43"/>
  <c r="X106" i="43"/>
  <c r="F106" i="43"/>
  <c r="Z106" i="43" s="1"/>
  <c r="Y105" i="43"/>
  <c r="X105" i="43"/>
  <c r="R105" i="43"/>
  <c r="Z105" i="43" s="1"/>
  <c r="Y104" i="43"/>
  <c r="X104" i="43"/>
  <c r="F104" i="43"/>
  <c r="Z104" i="43" s="1"/>
  <c r="Y103" i="43"/>
  <c r="X103" i="43"/>
  <c r="R103" i="43"/>
  <c r="N103" i="43"/>
  <c r="Y102" i="43"/>
  <c r="X102" i="43"/>
  <c r="R102" i="43"/>
  <c r="Z102" i="43" s="1"/>
  <c r="Y101" i="43"/>
  <c r="R101" i="43"/>
  <c r="Y100" i="43"/>
  <c r="X100" i="43"/>
  <c r="V100" i="43"/>
  <c r="Y99" i="43"/>
  <c r="X99" i="43"/>
  <c r="V99" i="43"/>
  <c r="M72" i="44"/>
  <c r="L72" i="44"/>
  <c r="I72" i="44"/>
  <c r="H72" i="44"/>
  <c r="E72" i="44"/>
  <c r="P72" i="44"/>
  <c r="Q71" i="44"/>
  <c r="Q72" i="44" s="1"/>
  <c r="P20" i="44"/>
  <c r="X20" i="44" s="1"/>
  <c r="X70" i="44"/>
  <c r="U70" i="44"/>
  <c r="V70" i="44" s="1"/>
  <c r="D66" i="44"/>
  <c r="X65" i="44"/>
  <c r="Y65" i="44"/>
  <c r="X64" i="44"/>
  <c r="J64" i="44"/>
  <c r="Z64" i="44" s="1"/>
  <c r="X63" i="44"/>
  <c r="R63" i="44"/>
  <c r="Z63" i="44" s="1"/>
  <c r="X62" i="44"/>
  <c r="Y62" i="44"/>
  <c r="X61" i="44"/>
  <c r="Y61" i="44"/>
  <c r="X60" i="44"/>
  <c r="J60" i="44"/>
  <c r="Z60" i="44" s="1"/>
  <c r="X59" i="44"/>
  <c r="Y59" i="44"/>
  <c r="X58" i="44"/>
  <c r="Y58" i="44"/>
  <c r="X57" i="44"/>
  <c r="F57" i="44"/>
  <c r="Z57" i="44" s="1"/>
  <c r="X56" i="44"/>
  <c r="R56" i="44"/>
  <c r="X55" i="44"/>
  <c r="Y55" i="44"/>
  <c r="Y46" i="44"/>
  <c r="X46" i="44"/>
  <c r="I31" i="44"/>
  <c r="Y31" i="44" s="1"/>
  <c r="I30" i="44"/>
  <c r="J30" i="44" s="1"/>
  <c r="X29" i="44"/>
  <c r="Q29" i="44"/>
  <c r="R29" i="44" s="1"/>
  <c r="Z29" i="44" s="1"/>
  <c r="Q28" i="44"/>
  <c r="Y28" i="44" s="1"/>
  <c r="I27" i="44"/>
  <c r="J27" i="44" s="1"/>
  <c r="Z27" i="44" s="1"/>
  <c r="E25" i="44"/>
  <c r="Y25" i="44" s="1"/>
  <c r="E23" i="44"/>
  <c r="Y23" i="44" s="1"/>
  <c r="Q22" i="44"/>
  <c r="R22" i="44" s="1"/>
  <c r="X21" i="44"/>
  <c r="X23" i="44"/>
  <c r="X25" i="44"/>
  <c r="X27" i="44"/>
  <c r="X28" i="44"/>
  <c r="X30" i="44"/>
  <c r="X31" i="44"/>
  <c r="Q21" i="44"/>
  <c r="R21" i="44" s="1"/>
  <c r="Z46" i="44" l="1"/>
  <c r="Y22" i="44"/>
  <c r="Z103" i="43"/>
  <c r="R71" i="44"/>
  <c r="Q85" i="43"/>
  <c r="J26" i="44"/>
  <c r="Z26" i="44" s="1"/>
  <c r="Y26" i="44"/>
  <c r="X26" i="44"/>
  <c r="X22" i="44"/>
  <c r="Y70" i="44"/>
  <c r="Z70" i="44" s="1"/>
  <c r="Y29" i="44"/>
  <c r="Y21" i="44"/>
  <c r="N21" i="44"/>
  <c r="Z21" i="44" s="1"/>
  <c r="Z100" i="43"/>
  <c r="Z99" i="43"/>
  <c r="Y83" i="43"/>
  <c r="Z83" i="43" s="1"/>
  <c r="Q94" i="43"/>
  <c r="M85" i="43"/>
  <c r="P113" i="43"/>
  <c r="Y82" i="43"/>
  <c r="Z82" i="43" s="1"/>
  <c r="E85" i="43"/>
  <c r="Y81" i="43"/>
  <c r="Z81" i="43" s="1"/>
  <c r="X24" i="44"/>
  <c r="Y80" i="43"/>
  <c r="Z80" i="43" s="1"/>
  <c r="Y78" i="43"/>
  <c r="Z78" i="43" s="1"/>
  <c r="Z79" i="43"/>
  <c r="F79" i="43"/>
  <c r="Q93" i="43"/>
  <c r="I85" i="43"/>
  <c r="X101" i="43"/>
  <c r="Z101" i="43" s="1"/>
  <c r="Y56" i="44"/>
  <c r="Y57" i="44"/>
  <c r="J65" i="44"/>
  <c r="Z65" i="44" s="1"/>
  <c r="R28" i="44"/>
  <c r="Z28" i="44" s="1"/>
  <c r="R46" i="44"/>
  <c r="N22" i="44"/>
  <c r="Z22" i="44" s="1"/>
  <c r="Y63" i="44"/>
  <c r="Y60" i="44"/>
  <c r="N56" i="44"/>
  <c r="Z56" i="44" s="1"/>
  <c r="R62" i="44"/>
  <c r="Z62" i="44" s="1"/>
  <c r="Y64" i="44"/>
  <c r="F59" i="44"/>
  <c r="Z59" i="44" s="1"/>
  <c r="J61" i="44"/>
  <c r="Z61" i="44" s="1"/>
  <c r="R58" i="44"/>
  <c r="Z58" i="44" s="1"/>
  <c r="R55" i="44"/>
  <c r="Z55" i="44" s="1"/>
  <c r="J31" i="44"/>
  <c r="Z31" i="44" s="1"/>
  <c r="Y30" i="44"/>
  <c r="Z30" i="44"/>
  <c r="Y27" i="44"/>
  <c r="F25" i="44"/>
  <c r="Z25" i="44" s="1"/>
  <c r="R24" i="44"/>
  <c r="Z24" i="44" s="1"/>
  <c r="F23" i="44"/>
  <c r="Z23" i="44" s="1"/>
  <c r="Q20" i="44"/>
  <c r="Y20" i="44" s="1"/>
  <c r="R20" i="44" l="1"/>
  <c r="Z20" i="44" s="1"/>
  <c r="U66" i="44"/>
  <c r="T66" i="44"/>
  <c r="P66" i="44"/>
  <c r="V41" i="44"/>
  <c r="E12" i="44" l="1"/>
  <c r="M12" i="44" l="1"/>
  <c r="I12" i="44"/>
  <c r="Q12" i="44" s="1"/>
  <c r="V135" i="43"/>
  <c r="M10" i="44" l="1"/>
  <c r="I10" i="44"/>
  <c r="E10" i="44"/>
  <c r="E66" i="44"/>
  <c r="I66" i="44"/>
  <c r="H66" i="44"/>
  <c r="M66" i="44"/>
  <c r="L66" i="44"/>
  <c r="Q66" i="44"/>
  <c r="Y41" i="44"/>
  <c r="X41" i="44"/>
  <c r="X19" i="44"/>
  <c r="V19" i="44"/>
  <c r="Q19" i="44"/>
  <c r="Y19" i="44" s="1"/>
  <c r="D32" i="44"/>
  <c r="Q10" i="44" l="1"/>
  <c r="N66" i="44"/>
  <c r="Z41" i="44"/>
  <c r="J66" i="44"/>
  <c r="F66" i="44"/>
  <c r="R66" i="44"/>
  <c r="R19" i="44"/>
  <c r="Z19" i="44" s="1"/>
  <c r="I12" i="43"/>
  <c r="E12" i="43"/>
  <c r="M12" i="43"/>
  <c r="Q12" i="43" l="1"/>
  <c r="Q34" i="43" l="1"/>
  <c r="R34" i="43" s="1"/>
  <c r="E86" i="44" l="1"/>
  <c r="U93" i="44"/>
  <c r="T93" i="44"/>
  <c r="P93" i="44"/>
  <c r="M93" i="44"/>
  <c r="L93" i="44"/>
  <c r="I93" i="44"/>
  <c r="H93" i="44"/>
  <c r="J93" i="44" s="1"/>
  <c r="E93" i="44"/>
  <c r="D93" i="44"/>
  <c r="X92" i="44"/>
  <c r="V92" i="44"/>
  <c r="Y92" i="44"/>
  <c r="U89" i="44"/>
  <c r="T89" i="44"/>
  <c r="P89" i="44"/>
  <c r="L89" i="44"/>
  <c r="H89" i="44"/>
  <c r="D89" i="44"/>
  <c r="X88" i="44"/>
  <c r="M88" i="44"/>
  <c r="N88" i="44" s="1"/>
  <c r="I88" i="44"/>
  <c r="J88" i="44" s="1"/>
  <c r="E88" i="44"/>
  <c r="X87" i="44"/>
  <c r="M87" i="44"/>
  <c r="N87" i="44" s="1"/>
  <c r="I87" i="44"/>
  <c r="J87" i="44" s="1"/>
  <c r="E87" i="44"/>
  <c r="X86" i="44"/>
  <c r="M86" i="44"/>
  <c r="N86" i="44" s="1"/>
  <c r="I86" i="44"/>
  <c r="U78" i="44"/>
  <c r="T78" i="44"/>
  <c r="Q78" i="44"/>
  <c r="P78" i="44"/>
  <c r="M78" i="44"/>
  <c r="L78" i="44"/>
  <c r="I78" i="44"/>
  <c r="H78" i="44"/>
  <c r="E78" i="44"/>
  <c r="D78" i="44"/>
  <c r="Y77" i="44"/>
  <c r="X77" i="44"/>
  <c r="V77" i="44"/>
  <c r="R77" i="44"/>
  <c r="N77" i="44"/>
  <c r="J77" i="44"/>
  <c r="F77" i="44"/>
  <c r="T72" i="44"/>
  <c r="D72" i="44"/>
  <c r="X71" i="44"/>
  <c r="U71" i="44"/>
  <c r="Y71" i="44" s="1"/>
  <c r="X69" i="44"/>
  <c r="U69" i="44"/>
  <c r="V69" i="44" s="1"/>
  <c r="Y40" i="44"/>
  <c r="Y66" i="44" s="1"/>
  <c r="X40" i="44"/>
  <c r="X66" i="44" s="1"/>
  <c r="V40" i="44"/>
  <c r="Z36" i="44"/>
  <c r="Y36" i="44"/>
  <c r="X36" i="44"/>
  <c r="U32" i="44"/>
  <c r="T32" i="44"/>
  <c r="L32" i="44"/>
  <c r="H32" i="44"/>
  <c r="X18" i="44"/>
  <c r="V18" i="44"/>
  <c r="Q18" i="44"/>
  <c r="U15" i="44"/>
  <c r="T15" i="44"/>
  <c r="P15" i="44"/>
  <c r="L15" i="44"/>
  <c r="H15" i="44"/>
  <c r="D15" i="44"/>
  <c r="X14" i="44"/>
  <c r="M14" i="44"/>
  <c r="N14" i="44" s="1"/>
  <c r="I14" i="44"/>
  <c r="J14" i="44" s="1"/>
  <c r="E14" i="44"/>
  <c r="F14" i="44" s="1"/>
  <c r="Y13" i="44"/>
  <c r="X13" i="44"/>
  <c r="R13" i="44"/>
  <c r="N13" i="44"/>
  <c r="J13" i="44"/>
  <c r="F13" i="44"/>
  <c r="X12" i="44"/>
  <c r="N12" i="44"/>
  <c r="J12" i="44"/>
  <c r="F12" i="44"/>
  <c r="Y11" i="44"/>
  <c r="X11" i="44"/>
  <c r="R11" i="44"/>
  <c r="N11" i="44"/>
  <c r="J11" i="44"/>
  <c r="F11" i="44"/>
  <c r="X10" i="44"/>
  <c r="N10" i="44"/>
  <c r="P95" i="44" l="1"/>
  <c r="F37" i="44"/>
  <c r="N72" i="44"/>
  <c r="N78" i="44"/>
  <c r="L95" i="44"/>
  <c r="I89" i="44"/>
  <c r="J89" i="44" s="1"/>
  <c r="U95" i="44"/>
  <c r="V32" i="44"/>
  <c r="Z40" i="44"/>
  <c r="F72" i="44"/>
  <c r="Q86" i="44"/>
  <c r="R86" i="44" s="1"/>
  <c r="Z11" i="44"/>
  <c r="V15" i="44"/>
  <c r="V37" i="44"/>
  <c r="X72" i="44"/>
  <c r="Z77" i="44"/>
  <c r="R78" i="44"/>
  <c r="Q87" i="44"/>
  <c r="Y87" i="44" s="1"/>
  <c r="D95" i="44"/>
  <c r="V93" i="44"/>
  <c r="I15" i="44"/>
  <c r="J15" i="44" s="1"/>
  <c r="F93" i="44"/>
  <c r="Y69" i="44"/>
  <c r="Y72" i="44" s="1"/>
  <c r="X89" i="44"/>
  <c r="X15" i="44"/>
  <c r="J10" i="44"/>
  <c r="X37" i="44"/>
  <c r="F87" i="44"/>
  <c r="T95" i="44"/>
  <c r="M15" i="44"/>
  <c r="N15" i="44" s="1"/>
  <c r="Y12" i="44"/>
  <c r="Q14" i="44"/>
  <c r="Y37" i="44"/>
  <c r="J72" i="44"/>
  <c r="F78" i="44"/>
  <c r="V78" i="44"/>
  <c r="X93" i="44"/>
  <c r="R37" i="44"/>
  <c r="R92" i="44"/>
  <c r="Z92" i="44" s="1"/>
  <c r="Z13" i="44"/>
  <c r="Z71" i="44"/>
  <c r="N93" i="44"/>
  <c r="V71" i="44"/>
  <c r="J78" i="44"/>
  <c r="H95" i="44"/>
  <c r="Y10" i="44"/>
  <c r="Q32" i="44"/>
  <c r="J37" i="44"/>
  <c r="V66" i="44"/>
  <c r="R72" i="44"/>
  <c r="M89" i="44"/>
  <c r="M95" i="44" s="1"/>
  <c r="F10" i="44"/>
  <c r="N37" i="44"/>
  <c r="E89" i="44"/>
  <c r="F89" i="44" s="1"/>
  <c r="R18" i="44"/>
  <c r="Z18" i="44" s="1"/>
  <c r="X78" i="44"/>
  <c r="J86" i="44"/>
  <c r="Q93" i="44"/>
  <c r="R93" i="44" s="1"/>
  <c r="I32" i="44"/>
  <c r="J32" i="44" s="1"/>
  <c r="M32" i="44"/>
  <c r="N32" i="44" s="1"/>
  <c r="Y78" i="44"/>
  <c r="Q88" i="44"/>
  <c r="R88" i="44" s="1"/>
  <c r="U72" i="44"/>
  <c r="V72" i="44" s="1"/>
  <c r="E15" i="44"/>
  <c r="F86" i="44"/>
  <c r="Y18" i="44"/>
  <c r="E32" i="44"/>
  <c r="P32" i="44"/>
  <c r="F88" i="44"/>
  <c r="V89" i="44"/>
  <c r="I95" i="44" l="1"/>
  <c r="J95" i="44" s="1"/>
  <c r="R14" i="44"/>
  <c r="Z14" i="44" s="1"/>
  <c r="Q15" i="44"/>
  <c r="Z72" i="44"/>
  <c r="N95" i="44"/>
  <c r="V95" i="44"/>
  <c r="R87" i="44"/>
  <c r="Z87" i="44" s="1"/>
  <c r="Z69" i="44"/>
  <c r="Z37" i="44"/>
  <c r="Y14" i="44"/>
  <c r="R10" i="44"/>
  <c r="Z10" i="44" s="1"/>
  <c r="Y86" i="44"/>
  <c r="Z66" i="44"/>
  <c r="X95" i="44"/>
  <c r="Y93" i="44"/>
  <c r="Y32" i="44"/>
  <c r="Z86" i="44"/>
  <c r="Y88" i="44"/>
  <c r="Z93" i="44"/>
  <c r="R12" i="44"/>
  <c r="Z12" i="44" s="1"/>
  <c r="R32" i="44"/>
  <c r="N89" i="44"/>
  <c r="Z78" i="44"/>
  <c r="Y15" i="44"/>
  <c r="F32" i="44"/>
  <c r="Z88" i="44"/>
  <c r="E126" i="44" s="1"/>
  <c r="E95" i="44"/>
  <c r="F15" i="44"/>
  <c r="Q89" i="44"/>
  <c r="Y89" i="44" s="1"/>
  <c r="X32" i="44"/>
  <c r="P60" i="42"/>
  <c r="E125" i="44" l="1"/>
  <c r="E120" i="44"/>
  <c r="Z32" i="44"/>
  <c r="R15" i="44"/>
  <c r="Z15" i="44" s="1"/>
  <c r="F95" i="44"/>
  <c r="R89" i="44"/>
  <c r="Z89" i="44" s="1"/>
  <c r="Q95" i="44"/>
  <c r="R95" i="44" s="1"/>
  <c r="Y47" i="43"/>
  <c r="X47" i="43"/>
  <c r="Z47" i="43" l="1"/>
  <c r="Z95" i="44"/>
  <c r="Y95" i="44"/>
  <c r="R47" i="43"/>
  <c r="N136" i="43"/>
  <c r="Q18" i="42"/>
  <c r="X54" i="43"/>
  <c r="Y54" i="43"/>
  <c r="X55" i="43"/>
  <c r="Y55" i="43"/>
  <c r="X56" i="43"/>
  <c r="Y56" i="43"/>
  <c r="N55" i="43"/>
  <c r="Z55" i="43" s="1"/>
  <c r="R57" i="43"/>
  <c r="R142" i="43"/>
  <c r="R51" i="43"/>
  <c r="Y51" i="43"/>
  <c r="X51" i="43"/>
  <c r="R50" i="43"/>
  <c r="Y50" i="43"/>
  <c r="X50" i="43"/>
  <c r="Y49" i="43"/>
  <c r="X49" i="43"/>
  <c r="R49" i="43"/>
  <c r="Y48" i="43"/>
  <c r="X48" i="43"/>
  <c r="R48" i="43"/>
  <c r="N46" i="43"/>
  <c r="R46" i="43"/>
  <c r="Y46" i="43"/>
  <c r="X46" i="43"/>
  <c r="Y45" i="43"/>
  <c r="X45" i="43"/>
  <c r="R45" i="43"/>
  <c r="F135" i="43"/>
  <c r="Y44" i="43"/>
  <c r="X44" i="43"/>
  <c r="F44" i="43"/>
  <c r="Y43" i="43"/>
  <c r="X43" i="43"/>
  <c r="R43" i="43"/>
  <c r="Y42" i="43"/>
  <c r="X42" i="43"/>
  <c r="R42" i="43"/>
  <c r="J135" i="43"/>
  <c r="Y41" i="43"/>
  <c r="X41" i="43"/>
  <c r="J41" i="43"/>
  <c r="Y40" i="43"/>
  <c r="X40" i="43"/>
  <c r="R40" i="43"/>
  <c r="M10" i="42"/>
  <c r="I10" i="42"/>
  <c r="E10" i="42"/>
  <c r="Q10" i="42" l="1"/>
  <c r="Z50" i="43"/>
  <c r="Z51" i="43"/>
  <c r="Z44" i="43"/>
  <c r="Z45" i="43"/>
  <c r="Z48" i="43"/>
  <c r="Z49" i="43"/>
  <c r="Z46" i="43"/>
  <c r="Z43" i="43"/>
  <c r="Z41" i="43"/>
  <c r="Z42" i="43"/>
  <c r="Z40" i="43"/>
  <c r="M14" i="42"/>
  <c r="I14" i="42"/>
  <c r="E14" i="42"/>
  <c r="Q14" i="42" l="1"/>
  <c r="R13" i="25"/>
  <c r="N13" i="25"/>
  <c r="J13" i="25"/>
  <c r="F13" i="25"/>
  <c r="R13" i="24"/>
  <c r="N13" i="24"/>
  <c r="J13" i="24"/>
  <c r="F13" i="24"/>
  <c r="R13" i="23"/>
  <c r="N13" i="23"/>
  <c r="J13" i="23"/>
  <c r="F13" i="23"/>
  <c r="R13" i="22"/>
  <c r="N13" i="22"/>
  <c r="J13" i="22"/>
  <c r="F13" i="22"/>
  <c r="R13" i="15"/>
  <c r="N13" i="15"/>
  <c r="J13" i="15"/>
  <c r="F13" i="15"/>
  <c r="R13" i="11"/>
  <c r="N13" i="11"/>
  <c r="J13" i="11"/>
  <c r="F13" i="11"/>
  <c r="R13" i="9"/>
  <c r="N13" i="9"/>
  <c r="J13" i="9"/>
  <c r="F13" i="9"/>
  <c r="R13" i="40"/>
  <c r="N13" i="40"/>
  <c r="J13" i="40"/>
  <c r="F13" i="40"/>
  <c r="R13" i="39"/>
  <c r="N13" i="39"/>
  <c r="J13" i="39"/>
  <c r="F13" i="39"/>
  <c r="R13" i="38"/>
  <c r="N13" i="38"/>
  <c r="J13" i="38"/>
  <c r="F13" i="38"/>
  <c r="R13" i="37"/>
  <c r="N13" i="37"/>
  <c r="J13" i="37"/>
  <c r="F13" i="37"/>
  <c r="R13" i="26"/>
  <c r="N13" i="26"/>
  <c r="J13" i="26"/>
  <c r="F13" i="26"/>
  <c r="Y13" i="25"/>
  <c r="X13" i="25"/>
  <c r="Y13" i="24"/>
  <c r="X13" i="24"/>
  <c r="Y13" i="23"/>
  <c r="X13" i="23"/>
  <c r="Y13" i="22"/>
  <c r="X13" i="22"/>
  <c r="Y13" i="15"/>
  <c r="X13" i="15"/>
  <c r="Y13" i="11"/>
  <c r="X13" i="11"/>
  <c r="Y13" i="9"/>
  <c r="X13" i="9"/>
  <c r="Y13" i="40"/>
  <c r="X13" i="40"/>
  <c r="Y13" i="39"/>
  <c r="X13" i="39"/>
  <c r="Y13" i="38"/>
  <c r="X13" i="38"/>
  <c r="Y13" i="37"/>
  <c r="X13" i="37"/>
  <c r="Y13" i="26"/>
  <c r="X13" i="26"/>
  <c r="Z13" i="37" l="1"/>
  <c r="Z13" i="39"/>
  <c r="Z13" i="9"/>
  <c r="Z13" i="15"/>
  <c r="Z13" i="23"/>
  <c r="Z13" i="25"/>
  <c r="Z13" i="26"/>
  <c r="Z13" i="38"/>
  <c r="Z13" i="40"/>
  <c r="Z13" i="11"/>
  <c r="Z13" i="22"/>
  <c r="Z13" i="24"/>
  <c r="P21" i="43"/>
  <c r="X87" i="42" l="1"/>
  <c r="X86" i="42"/>
  <c r="D88" i="42"/>
  <c r="I87" i="42"/>
  <c r="J87" i="42" s="1"/>
  <c r="E86" i="42"/>
  <c r="F86" i="42" s="1"/>
  <c r="Y87" i="42" l="1"/>
  <c r="Z87" i="42" s="1"/>
  <c r="Y86" i="42"/>
  <c r="Z86" i="42" s="1"/>
  <c r="H24" i="43"/>
  <c r="U88" i="42"/>
  <c r="T88" i="42"/>
  <c r="P88" i="42"/>
  <c r="M88" i="42"/>
  <c r="L88" i="42"/>
  <c r="I88" i="42"/>
  <c r="H88" i="42"/>
  <c r="D28" i="43"/>
  <c r="E88" i="42"/>
  <c r="U116" i="42"/>
  <c r="T116" i="42"/>
  <c r="L116" i="42"/>
  <c r="H116" i="42"/>
  <c r="D116" i="42"/>
  <c r="X115" i="42"/>
  <c r="Q115" i="42"/>
  <c r="R115" i="42" s="1"/>
  <c r="M115" i="42"/>
  <c r="N115" i="42" s="1"/>
  <c r="X114" i="42"/>
  <c r="E114" i="42"/>
  <c r="F114" i="42" s="1"/>
  <c r="Z114" i="42" s="1"/>
  <c r="X113" i="42"/>
  <c r="E113" i="42"/>
  <c r="Y113" i="42" s="1"/>
  <c r="X112" i="42"/>
  <c r="I112" i="42"/>
  <c r="Y112" i="42" s="1"/>
  <c r="X111" i="42"/>
  <c r="I111" i="42"/>
  <c r="J111" i="42" s="1"/>
  <c r="Z111" i="42" s="1"/>
  <c r="X110" i="42"/>
  <c r="Q110" i="42"/>
  <c r="Y110" i="42" s="1"/>
  <c r="X109" i="42"/>
  <c r="I109" i="42"/>
  <c r="Y109" i="42" s="1"/>
  <c r="X108" i="42"/>
  <c r="I108" i="42"/>
  <c r="Y108" i="42" s="1"/>
  <c r="X107" i="42"/>
  <c r="Q107" i="42"/>
  <c r="Y107" i="42" s="1"/>
  <c r="X106" i="42"/>
  <c r="Q106" i="42"/>
  <c r="M106" i="42"/>
  <c r="N106" i="42" s="1"/>
  <c r="P105" i="42"/>
  <c r="X105" i="42" s="1"/>
  <c r="X104" i="42"/>
  <c r="Q104" i="42"/>
  <c r="Y104" i="42" s="1"/>
  <c r="X103" i="42"/>
  <c r="V103" i="42"/>
  <c r="Q103" i="42"/>
  <c r="R103" i="42" s="1"/>
  <c r="X102" i="42"/>
  <c r="V102" i="42"/>
  <c r="Q102" i="42"/>
  <c r="Y102" i="42" s="1"/>
  <c r="M116" i="42" l="1"/>
  <c r="Y103" i="42"/>
  <c r="E116" i="42"/>
  <c r="R107" i="42"/>
  <c r="Z107" i="42" s="1"/>
  <c r="Y114" i="42"/>
  <c r="Y111" i="42"/>
  <c r="Y106" i="42"/>
  <c r="Z103" i="42"/>
  <c r="I116" i="42"/>
  <c r="J88" i="42"/>
  <c r="Q88" i="42"/>
  <c r="P116" i="42"/>
  <c r="N88" i="42"/>
  <c r="Y115" i="42"/>
  <c r="V88" i="42"/>
  <c r="R88" i="42"/>
  <c r="Z115" i="42"/>
  <c r="R102" i="42"/>
  <c r="Z102" i="42" s="1"/>
  <c r="J109" i="42"/>
  <c r="Z109" i="42" s="1"/>
  <c r="Q105" i="42"/>
  <c r="Y105" i="42" s="1"/>
  <c r="R106" i="42"/>
  <c r="Z106" i="42" s="1"/>
  <c r="F113" i="42"/>
  <c r="Z113" i="42" s="1"/>
  <c r="R110" i="42"/>
  <c r="Z110" i="42" s="1"/>
  <c r="J108" i="42"/>
  <c r="Z108" i="42" s="1"/>
  <c r="R104" i="42"/>
  <c r="Z104" i="42" s="1"/>
  <c r="J112" i="42"/>
  <c r="Z112" i="42" s="1"/>
  <c r="X62" i="43"/>
  <c r="N62" i="43"/>
  <c r="X61" i="43"/>
  <c r="Y61" i="43"/>
  <c r="X60" i="43"/>
  <c r="Y60" i="43"/>
  <c r="X59" i="43"/>
  <c r="Y59" i="43"/>
  <c r="X58" i="43"/>
  <c r="Y58" i="43"/>
  <c r="X57" i="43"/>
  <c r="Y57" i="43"/>
  <c r="J56" i="43"/>
  <c r="Z56" i="43" s="1"/>
  <c r="J54" i="43"/>
  <c r="Z54" i="43" s="1"/>
  <c r="X53" i="43"/>
  <c r="R53" i="43"/>
  <c r="Z53" i="43" s="1"/>
  <c r="X52" i="43"/>
  <c r="N52" i="43"/>
  <c r="X30" i="43"/>
  <c r="Q30" i="43"/>
  <c r="R30" i="43" s="1"/>
  <c r="M30" i="43"/>
  <c r="N30" i="43" s="1"/>
  <c r="X29" i="43"/>
  <c r="E29" i="43"/>
  <c r="F29" i="43" s="1"/>
  <c r="Z29" i="43" s="1"/>
  <c r="X28" i="43"/>
  <c r="E28" i="43"/>
  <c r="F28" i="43" s="1"/>
  <c r="Z28" i="43" s="1"/>
  <c r="X27" i="43"/>
  <c r="I27" i="43"/>
  <c r="J27" i="43" s="1"/>
  <c r="Z27" i="43" s="1"/>
  <c r="X26" i="43"/>
  <c r="I26" i="43"/>
  <c r="J26" i="43" s="1"/>
  <c r="Z26" i="43" s="1"/>
  <c r="X25" i="43"/>
  <c r="Q25" i="43"/>
  <c r="R25" i="43" s="1"/>
  <c r="Z25" i="43" s="1"/>
  <c r="X24" i="43"/>
  <c r="X23" i="43"/>
  <c r="I24" i="43"/>
  <c r="J24" i="43" s="1"/>
  <c r="Z24" i="43" s="1"/>
  <c r="I23" i="43"/>
  <c r="J23" i="43" s="1"/>
  <c r="Z23" i="43" s="1"/>
  <c r="X22" i="43"/>
  <c r="Q22" i="43"/>
  <c r="R22" i="43" s="1"/>
  <c r="Z22" i="43" s="1"/>
  <c r="X21" i="43"/>
  <c r="Q21" i="43"/>
  <c r="R21" i="43" s="1"/>
  <c r="M21" i="43"/>
  <c r="N21" i="43" s="1"/>
  <c r="P20" i="43"/>
  <c r="P31" i="43" s="1"/>
  <c r="X68" i="42"/>
  <c r="Y68" i="42"/>
  <c r="Y67" i="42"/>
  <c r="X67" i="42"/>
  <c r="R67" i="42"/>
  <c r="H38" i="42"/>
  <c r="X37" i="42"/>
  <c r="M37" i="42"/>
  <c r="Y37" i="42" s="1"/>
  <c r="X36" i="42"/>
  <c r="M36" i="42"/>
  <c r="N36" i="42" s="1"/>
  <c r="Z67" i="42" l="1"/>
  <c r="R105" i="42"/>
  <c r="Z105" i="42" s="1"/>
  <c r="Q116" i="42"/>
  <c r="Z30" i="43"/>
  <c r="Y24" i="43"/>
  <c r="Y30" i="43"/>
  <c r="Z21" i="43"/>
  <c r="Y22" i="43"/>
  <c r="Y27" i="43"/>
  <c r="Y21" i="43"/>
  <c r="Y25" i="43"/>
  <c r="Y29" i="43"/>
  <c r="Y23" i="43"/>
  <c r="Y26" i="43"/>
  <c r="Y28" i="43"/>
  <c r="Y62" i="43"/>
  <c r="R62" i="43"/>
  <c r="Z62" i="43" s="1"/>
  <c r="F61" i="43"/>
  <c r="Z61" i="43" s="1"/>
  <c r="F60" i="43"/>
  <c r="Z60" i="43" s="1"/>
  <c r="J59" i="43"/>
  <c r="Z59" i="43" s="1"/>
  <c r="J58" i="43"/>
  <c r="Z58" i="43" s="1"/>
  <c r="Z57" i="43"/>
  <c r="Y53" i="43"/>
  <c r="Y52" i="43"/>
  <c r="R52" i="43"/>
  <c r="Z52" i="43" s="1"/>
  <c r="X20" i="43"/>
  <c r="Q20" i="43"/>
  <c r="Y20" i="43" s="1"/>
  <c r="N68" i="42"/>
  <c r="Z68" i="42" s="1"/>
  <c r="N37" i="42"/>
  <c r="Z37" i="42" s="1"/>
  <c r="Q36" i="42"/>
  <c r="Y36" i="42" s="1"/>
  <c r="R36" i="42" l="1"/>
  <c r="Z36" i="42" s="1"/>
  <c r="R20" i="43"/>
  <c r="Z20" i="43" s="1"/>
  <c r="X74" i="42"/>
  <c r="X75" i="42"/>
  <c r="X76" i="42"/>
  <c r="X77" i="42"/>
  <c r="X78" i="42"/>
  <c r="X79" i="42"/>
  <c r="Q79" i="42"/>
  <c r="R79" i="42" s="1"/>
  <c r="P59" i="42"/>
  <c r="Q78" i="42"/>
  <c r="R78" i="42" s="1"/>
  <c r="P58" i="42"/>
  <c r="I77" i="42"/>
  <c r="J77" i="42" s="1"/>
  <c r="I76" i="42"/>
  <c r="Y76" i="42" s="1"/>
  <c r="I75" i="42"/>
  <c r="J75" i="42" s="1"/>
  <c r="I74" i="42"/>
  <c r="Y74" i="42" s="1"/>
  <c r="J74" i="42" l="1"/>
  <c r="Y75" i="42"/>
  <c r="Y79" i="42"/>
  <c r="Z79" i="42" s="1"/>
  <c r="Z75" i="42"/>
  <c r="Z74" i="42"/>
  <c r="Y77" i="42"/>
  <c r="Z77" i="42" s="1"/>
  <c r="Y78" i="42"/>
  <c r="Z78" i="42" s="1"/>
  <c r="J76" i="42"/>
  <c r="Z76" i="42"/>
  <c r="M12" i="42" l="1"/>
  <c r="I12" i="42"/>
  <c r="E12" i="42"/>
  <c r="Q12" i="42" l="1"/>
  <c r="T80" i="42"/>
  <c r="P80" i="42"/>
  <c r="M80" i="42"/>
  <c r="L80" i="42"/>
  <c r="I80" i="42"/>
  <c r="H80" i="42"/>
  <c r="E80" i="42"/>
  <c r="D80" i="42"/>
  <c r="Q80" i="42"/>
  <c r="N60" i="42" l="1"/>
  <c r="U38" i="42"/>
  <c r="T38" i="42"/>
  <c r="L38" i="42"/>
  <c r="I38" i="42"/>
  <c r="J38" i="42" s="1"/>
  <c r="E38" i="42"/>
  <c r="F38" i="42" l="1"/>
  <c r="V38" i="42"/>
  <c r="P38" i="42"/>
  <c r="M38" i="42"/>
  <c r="X38" i="42"/>
  <c r="X47" i="42"/>
  <c r="Y47" i="42"/>
  <c r="X48" i="42"/>
  <c r="Y48" i="42"/>
  <c r="R47" i="42"/>
  <c r="Z47" i="42" l="1"/>
  <c r="Z48" i="42"/>
  <c r="Q38" i="42"/>
  <c r="Y38" i="42"/>
  <c r="Z38" i="42" s="1"/>
  <c r="N38" i="42"/>
  <c r="R54" i="42"/>
  <c r="R38" i="42" l="1"/>
  <c r="D69" i="42"/>
  <c r="X58" i="42" l="1"/>
  <c r="Y58" i="42"/>
  <c r="X52" i="42"/>
  <c r="Y52" i="42"/>
  <c r="X55" i="42"/>
  <c r="Y55" i="42"/>
  <c r="R58" i="42"/>
  <c r="Z52" i="42" l="1"/>
  <c r="Z55" i="42"/>
  <c r="Z58" i="42"/>
  <c r="X57" i="42"/>
  <c r="Y57" i="42"/>
  <c r="R57" i="42"/>
  <c r="Z57" i="42" l="1"/>
  <c r="X59" i="42"/>
  <c r="Y59" i="42"/>
  <c r="R59" i="42"/>
  <c r="Z59" i="42" l="1"/>
  <c r="Y53" i="42" l="1"/>
  <c r="X53" i="42"/>
  <c r="R53" i="42"/>
  <c r="Z53" i="42" l="1"/>
  <c r="X51" i="42"/>
  <c r="Y51" i="42"/>
  <c r="R51" i="42"/>
  <c r="Z51" i="42" l="1"/>
  <c r="R50" i="42"/>
  <c r="X50" i="42" l="1"/>
  <c r="Y50" i="42"/>
  <c r="Z50" i="42" l="1"/>
  <c r="X54" i="42"/>
  <c r="Y54" i="42"/>
  <c r="N54" i="42"/>
  <c r="Z54" i="42" l="1"/>
  <c r="X46" i="42"/>
  <c r="Y46" i="42"/>
  <c r="J46" i="42"/>
  <c r="Z46" i="42" l="1"/>
  <c r="X49" i="42"/>
  <c r="Y49" i="42"/>
  <c r="J49" i="42"/>
  <c r="X45" i="42"/>
  <c r="Y45" i="42"/>
  <c r="J45" i="42"/>
  <c r="Z49" i="42" l="1"/>
  <c r="Z45" i="42"/>
  <c r="X56" i="42"/>
  <c r="Y56" i="42"/>
  <c r="J56" i="42"/>
  <c r="Z56" i="42" l="1"/>
  <c r="J48" i="42"/>
  <c r="J44" i="42" l="1"/>
  <c r="X44" i="42"/>
  <c r="Y44" i="42"/>
  <c r="Z44" i="42" l="1"/>
  <c r="Y61" i="42"/>
  <c r="X61" i="42"/>
  <c r="Z61" i="42" s="1"/>
  <c r="F61" i="42"/>
  <c r="F52" i="42"/>
  <c r="N13" i="31" l="1"/>
  <c r="R125" i="32"/>
  <c r="P26" i="32"/>
  <c r="Q26" i="32" l="1"/>
  <c r="R26" i="32" s="1"/>
  <c r="R136" i="42" l="1"/>
  <c r="M11" i="41" l="1"/>
  <c r="M10" i="41"/>
  <c r="I11" i="41"/>
  <c r="I10" i="41"/>
  <c r="E10" i="41"/>
  <c r="E11" i="41"/>
  <c r="Q10" i="41" l="1"/>
  <c r="Q11" i="41"/>
  <c r="X71" i="41"/>
  <c r="X72" i="41"/>
  <c r="J139" i="42"/>
  <c r="I71" i="41"/>
  <c r="J71" i="41" s="1"/>
  <c r="Y71" i="41" l="1"/>
  <c r="Z71" i="41" s="1"/>
  <c r="H73" i="41"/>
  <c r="X73" i="41" s="1"/>
  <c r="I73" i="41" l="1"/>
  <c r="F135" i="42"/>
  <c r="J73" i="41" l="1"/>
  <c r="Y73" i="41"/>
  <c r="Z73" i="41" s="1"/>
  <c r="M133" i="42"/>
  <c r="R141" i="42" l="1"/>
  <c r="T41" i="41" l="1"/>
  <c r="T40" i="41"/>
  <c r="E133" i="42" l="1"/>
  <c r="M14" i="41" l="1"/>
  <c r="I14" i="41"/>
  <c r="E14" i="41"/>
  <c r="Q14" i="41" l="1"/>
  <c r="D22" i="42"/>
  <c r="X22" i="42" s="1"/>
  <c r="E22" i="42" l="1"/>
  <c r="Y22" i="42" s="1"/>
  <c r="U96" i="43"/>
  <c r="T96" i="43"/>
  <c r="P96" i="43"/>
  <c r="L96" i="43"/>
  <c r="H96" i="43"/>
  <c r="D96" i="43"/>
  <c r="X95" i="43"/>
  <c r="M95" i="43"/>
  <c r="N95" i="43" s="1"/>
  <c r="I95" i="43"/>
  <c r="J95" i="43" s="1"/>
  <c r="E95" i="43"/>
  <c r="X94" i="43"/>
  <c r="N94" i="43"/>
  <c r="J94" i="43"/>
  <c r="X93" i="43"/>
  <c r="N93" i="43"/>
  <c r="Y84" i="43"/>
  <c r="X84" i="43"/>
  <c r="V84" i="43"/>
  <c r="R84" i="43"/>
  <c r="N84" i="43"/>
  <c r="J84" i="43"/>
  <c r="F84" i="43"/>
  <c r="E73" i="43"/>
  <c r="X66" i="43"/>
  <c r="Y66" i="43"/>
  <c r="U63" i="43"/>
  <c r="T63" i="43"/>
  <c r="Q63" i="43"/>
  <c r="P63" i="43"/>
  <c r="M63" i="43"/>
  <c r="L63" i="43"/>
  <c r="I63" i="43"/>
  <c r="H63" i="43"/>
  <c r="E63" i="43"/>
  <c r="D63" i="43"/>
  <c r="Y39" i="43"/>
  <c r="X39" i="43"/>
  <c r="V39" i="43"/>
  <c r="Y38" i="43"/>
  <c r="X38" i="43"/>
  <c r="V38" i="43"/>
  <c r="U35" i="43"/>
  <c r="T35" i="43"/>
  <c r="Q35" i="43"/>
  <c r="P35" i="43"/>
  <c r="M35" i="43"/>
  <c r="L35" i="43"/>
  <c r="I35" i="43"/>
  <c r="H35" i="43"/>
  <c r="E35" i="43"/>
  <c r="D35" i="43"/>
  <c r="Z34" i="43"/>
  <c r="Y34" i="43"/>
  <c r="X34" i="43"/>
  <c r="U31" i="43"/>
  <c r="L31" i="43"/>
  <c r="I31" i="43"/>
  <c r="H31" i="43"/>
  <c r="T31" i="43"/>
  <c r="X18" i="43"/>
  <c r="V18" i="43"/>
  <c r="Q18" i="43"/>
  <c r="R18" i="43" s="1"/>
  <c r="U15" i="43"/>
  <c r="T15" i="43"/>
  <c r="P15" i="43"/>
  <c r="L15" i="43"/>
  <c r="H15" i="43"/>
  <c r="D15" i="43"/>
  <c r="X14" i="43"/>
  <c r="Y13" i="43"/>
  <c r="X13" i="43"/>
  <c r="R13" i="43"/>
  <c r="N13" i="43"/>
  <c r="J13" i="43"/>
  <c r="F13" i="43"/>
  <c r="X12" i="43"/>
  <c r="Y11" i="43"/>
  <c r="X11" i="43"/>
  <c r="R11" i="43"/>
  <c r="N11" i="43"/>
  <c r="J11" i="43"/>
  <c r="F11" i="43"/>
  <c r="X10" i="43"/>
  <c r="V15" i="43" l="1"/>
  <c r="F22" i="42"/>
  <c r="Z22" i="42" s="1"/>
  <c r="R85" i="43"/>
  <c r="F63" i="43"/>
  <c r="V63" i="43"/>
  <c r="F12" i="43"/>
  <c r="J12" i="43"/>
  <c r="F14" i="43"/>
  <c r="J14" i="43"/>
  <c r="N12" i="43"/>
  <c r="J35" i="43"/>
  <c r="N35" i="43"/>
  <c r="F73" i="43"/>
  <c r="V85" i="43"/>
  <c r="D115" i="43"/>
  <c r="Z38" i="43"/>
  <c r="I15" i="43"/>
  <c r="J15" i="43" s="1"/>
  <c r="J73" i="43"/>
  <c r="I96" i="43"/>
  <c r="I115" i="43" s="1"/>
  <c r="E121" i="43" s="1"/>
  <c r="H115" i="43"/>
  <c r="Z66" i="43"/>
  <c r="N85" i="43"/>
  <c r="Z11" i="43"/>
  <c r="AC11" i="43" s="1"/>
  <c r="R63" i="43"/>
  <c r="N113" i="43"/>
  <c r="J85" i="43"/>
  <c r="F113" i="43"/>
  <c r="V113" i="43"/>
  <c r="J31" i="43"/>
  <c r="X35" i="43"/>
  <c r="Z39" i="43"/>
  <c r="J63" i="43"/>
  <c r="Y93" i="43"/>
  <c r="L115" i="43"/>
  <c r="M15" i="43"/>
  <c r="N15" i="43" s="1"/>
  <c r="T115" i="43"/>
  <c r="J10" i="43"/>
  <c r="X19" i="43"/>
  <c r="R35" i="43"/>
  <c r="Y73" i="43"/>
  <c r="E15" i="43"/>
  <c r="F15" i="43" s="1"/>
  <c r="Y63" i="43"/>
  <c r="X73" i="43"/>
  <c r="N73" i="43"/>
  <c r="M96" i="43"/>
  <c r="M115" i="43" s="1"/>
  <c r="E123" i="43" s="1"/>
  <c r="P115" i="43"/>
  <c r="Z18" i="43"/>
  <c r="N63" i="43"/>
  <c r="V66" i="43"/>
  <c r="F85" i="43"/>
  <c r="J113" i="43"/>
  <c r="Y35" i="43"/>
  <c r="R73" i="43"/>
  <c r="Z84" i="43"/>
  <c r="V96" i="43"/>
  <c r="Z13" i="43"/>
  <c r="AC13" i="43" s="1"/>
  <c r="X63" i="43"/>
  <c r="Y85" i="43"/>
  <c r="V31" i="43"/>
  <c r="X113" i="43"/>
  <c r="E31" i="43"/>
  <c r="U73" i="43"/>
  <c r="N10" i="43"/>
  <c r="Y18" i="43"/>
  <c r="M31" i="43"/>
  <c r="N31" i="43" s="1"/>
  <c r="F35" i="43"/>
  <c r="X96" i="43"/>
  <c r="U115" i="43"/>
  <c r="X15" i="43"/>
  <c r="D31" i="43"/>
  <c r="Q19" i="43"/>
  <c r="Q31" i="43" s="1"/>
  <c r="F93" i="43"/>
  <c r="R94" i="43"/>
  <c r="E96" i="43"/>
  <c r="Y113" i="43"/>
  <c r="F10" i="43"/>
  <c r="N14" i="43"/>
  <c r="V35" i="43"/>
  <c r="X85" i="43"/>
  <c r="J93" i="43"/>
  <c r="V19" i="43"/>
  <c r="F94" i="43"/>
  <c r="Q95" i="43"/>
  <c r="F95" i="43"/>
  <c r="F126" i="41"/>
  <c r="F124" i="32"/>
  <c r="R95" i="43" l="1"/>
  <c r="Q96" i="43"/>
  <c r="Q115" i="43" s="1"/>
  <c r="Z73" i="43"/>
  <c r="Y10" i="43"/>
  <c r="N115" i="43"/>
  <c r="R12" i="43"/>
  <c r="Z12" i="43" s="1"/>
  <c r="AC12" i="43" s="1"/>
  <c r="R14" i="43"/>
  <c r="Z14" i="43" s="1"/>
  <c r="E119" i="44" s="1"/>
  <c r="J96" i="43"/>
  <c r="J115" i="43"/>
  <c r="Y14" i="43"/>
  <c r="R93" i="43"/>
  <c r="Z93" i="43" s="1"/>
  <c r="E144" i="43" s="1"/>
  <c r="Z63" i="43"/>
  <c r="V115" i="43"/>
  <c r="Z85" i="43"/>
  <c r="X115" i="43"/>
  <c r="Y95" i="43"/>
  <c r="N96" i="43"/>
  <c r="Y12" i="43"/>
  <c r="Z35" i="43"/>
  <c r="Z94" i="43"/>
  <c r="E145" i="43" s="1"/>
  <c r="Q15" i="43"/>
  <c r="R10" i="43"/>
  <c r="Z10" i="43" s="1"/>
  <c r="V73" i="43"/>
  <c r="R113" i="43"/>
  <c r="Z113" i="43" s="1"/>
  <c r="E115" i="43"/>
  <c r="E120" i="43" s="1"/>
  <c r="F96" i="43"/>
  <c r="Y19" i="43"/>
  <c r="R19" i="43"/>
  <c r="Z19" i="43" s="1"/>
  <c r="R31" i="43"/>
  <c r="F31" i="43"/>
  <c r="X31" i="43"/>
  <c r="Z95" i="43"/>
  <c r="E146" i="43" s="1"/>
  <c r="Y94" i="43"/>
  <c r="E121" i="44" l="1"/>
  <c r="E118" i="44"/>
  <c r="E124" i="44"/>
  <c r="R96" i="43"/>
  <c r="Z96" i="43" s="1"/>
  <c r="AD10" i="43"/>
  <c r="AC10" i="43"/>
  <c r="AC14" i="43"/>
  <c r="AD14" i="43"/>
  <c r="R115" i="43"/>
  <c r="Y96" i="43"/>
  <c r="Y31" i="43"/>
  <c r="Z31" i="43"/>
  <c r="Y15" i="43"/>
  <c r="R15" i="43"/>
  <c r="Z15" i="43" s="1"/>
  <c r="F115" i="43"/>
  <c r="U82" i="41"/>
  <c r="T82" i="41"/>
  <c r="Q82" i="41"/>
  <c r="P82" i="41"/>
  <c r="M82" i="41"/>
  <c r="L82" i="41"/>
  <c r="I82" i="41"/>
  <c r="H82" i="41"/>
  <c r="X106" i="41"/>
  <c r="Q106" i="41"/>
  <c r="Y106" i="41" s="1"/>
  <c r="X105" i="41"/>
  <c r="E105" i="41"/>
  <c r="Y105" i="41" s="1"/>
  <c r="X104" i="41"/>
  <c r="Q104" i="41"/>
  <c r="R104" i="41" s="1"/>
  <c r="Z104" i="41" s="1"/>
  <c r="X103" i="41"/>
  <c r="Q103" i="41"/>
  <c r="R103" i="41" s="1"/>
  <c r="Z103" i="41" s="1"/>
  <c r="X102" i="41"/>
  <c r="Q102" i="41"/>
  <c r="R102" i="41" s="1"/>
  <c r="M102" i="41"/>
  <c r="N102" i="41" s="1"/>
  <c r="X101" i="41"/>
  <c r="Q101" i="41"/>
  <c r="R101" i="41" s="1"/>
  <c r="Z101" i="41" s="1"/>
  <c r="X100" i="41"/>
  <c r="Q100" i="41"/>
  <c r="Y100" i="41" s="1"/>
  <c r="X99" i="41"/>
  <c r="Q99" i="41"/>
  <c r="R99" i="41" s="1"/>
  <c r="Z99" i="41" s="1"/>
  <c r="X98" i="41"/>
  <c r="E98" i="41"/>
  <c r="F98" i="41" s="1"/>
  <c r="Z98" i="41" s="1"/>
  <c r="T97" i="41"/>
  <c r="X97" i="41" s="1"/>
  <c r="X96" i="41"/>
  <c r="V96" i="41"/>
  <c r="Q96" i="41"/>
  <c r="R96" i="41" s="1"/>
  <c r="U107" i="41"/>
  <c r="P107" i="41"/>
  <c r="L107" i="41"/>
  <c r="I107" i="41"/>
  <c r="H107" i="41"/>
  <c r="D107" i="41"/>
  <c r="Y66" i="42"/>
  <c r="X66" i="42"/>
  <c r="F66" i="42"/>
  <c r="Q28" i="42"/>
  <c r="R28" i="42" s="1"/>
  <c r="X27" i="42"/>
  <c r="E27" i="42"/>
  <c r="Y27" i="42" s="1"/>
  <c r="Y65" i="42"/>
  <c r="X65" i="42"/>
  <c r="R65" i="42"/>
  <c r="X26" i="42"/>
  <c r="Q26" i="42"/>
  <c r="Y26" i="42" s="1"/>
  <c r="Y64" i="42"/>
  <c r="X64" i="42"/>
  <c r="R64" i="42"/>
  <c r="X25" i="42"/>
  <c r="Q25" i="42"/>
  <c r="Y25" i="42" s="1"/>
  <c r="X24" i="42"/>
  <c r="Q24" i="42"/>
  <c r="R24" i="42" s="1"/>
  <c r="M24" i="42"/>
  <c r="Y63" i="42"/>
  <c r="X63" i="42"/>
  <c r="R63" i="42"/>
  <c r="N63" i="42"/>
  <c r="Y62" i="42"/>
  <c r="X62" i="42"/>
  <c r="R62" i="42"/>
  <c r="X23" i="42"/>
  <c r="Q23" i="42"/>
  <c r="Y23" i="42" s="1"/>
  <c r="Y60" i="42"/>
  <c r="X60" i="42"/>
  <c r="R60" i="42"/>
  <c r="T19" i="42"/>
  <c r="D29" i="42"/>
  <c r="V42" i="42"/>
  <c r="V18" i="42"/>
  <c r="R18" i="42"/>
  <c r="P65" i="41"/>
  <c r="P36" i="41"/>
  <c r="X36" i="41" s="1"/>
  <c r="U37" i="41"/>
  <c r="T37" i="41"/>
  <c r="Z62" i="42" l="1"/>
  <c r="E124" i="43"/>
  <c r="AC15" i="43"/>
  <c r="AD15" i="43"/>
  <c r="J82" i="41"/>
  <c r="Z96" i="41"/>
  <c r="Z60" i="42"/>
  <c r="Z63" i="42"/>
  <c r="Z66" i="42"/>
  <c r="Z64" i="42"/>
  <c r="R82" i="41"/>
  <c r="V37" i="41"/>
  <c r="R23" i="42"/>
  <c r="Z23" i="42" s="1"/>
  <c r="Y24" i="42"/>
  <c r="Y99" i="41"/>
  <c r="Y96" i="41"/>
  <c r="N82" i="41"/>
  <c r="V82" i="41"/>
  <c r="Z65" i="42"/>
  <c r="Z115" i="43"/>
  <c r="Y115" i="43"/>
  <c r="Y101" i="41"/>
  <c r="Y104" i="41"/>
  <c r="F105" i="41"/>
  <c r="Z105" i="41" s="1"/>
  <c r="Y103" i="41"/>
  <c r="Y98" i="41"/>
  <c r="Z102" i="41"/>
  <c r="T107" i="41"/>
  <c r="E107" i="41"/>
  <c r="Q97" i="41"/>
  <c r="Y102" i="41"/>
  <c r="R100" i="41"/>
  <c r="Z100" i="41" s="1"/>
  <c r="R106" i="41"/>
  <c r="Z106" i="41" s="1"/>
  <c r="V97" i="41"/>
  <c r="M107" i="41"/>
  <c r="F27" i="42"/>
  <c r="Z27" i="42" s="1"/>
  <c r="R26" i="42"/>
  <c r="Z26" i="42" s="1"/>
  <c r="R25" i="42"/>
  <c r="Z25" i="42" s="1"/>
  <c r="N24" i="42"/>
  <c r="Z24" i="42" s="1"/>
  <c r="P37" i="41"/>
  <c r="X21" i="42"/>
  <c r="Q21" i="42"/>
  <c r="Y21" i="42" s="1"/>
  <c r="Q20" i="42"/>
  <c r="R20" i="42" s="1"/>
  <c r="T66" i="41"/>
  <c r="R65" i="41"/>
  <c r="L66" i="41"/>
  <c r="M66" i="41"/>
  <c r="N65" i="41"/>
  <c r="Q36" i="41"/>
  <c r="M36" i="41"/>
  <c r="M37" i="41" s="1"/>
  <c r="L37" i="41"/>
  <c r="I37" i="41"/>
  <c r="H37" i="41"/>
  <c r="D37" i="41"/>
  <c r="E37" i="41"/>
  <c r="N66" i="41" l="1"/>
  <c r="J37" i="41"/>
  <c r="R21" i="42"/>
  <c r="Z21" i="42" s="1"/>
  <c r="R97" i="41"/>
  <c r="Z97" i="41" s="1"/>
  <c r="Q107" i="41"/>
  <c r="Y97" i="41"/>
  <c r="N36" i="41"/>
  <c r="F37" i="41"/>
  <c r="X37" i="41"/>
  <c r="Q37" i="41"/>
  <c r="Y36" i="41"/>
  <c r="R36" i="41"/>
  <c r="N37" i="41"/>
  <c r="Z36" i="41" l="1"/>
  <c r="R37" i="41"/>
  <c r="Z37" i="41" s="1"/>
  <c r="Y37" i="41"/>
  <c r="U74" i="41"/>
  <c r="V74" i="41" s="1"/>
  <c r="T75" i="41"/>
  <c r="M75" i="41"/>
  <c r="L75" i="41"/>
  <c r="H75" i="41"/>
  <c r="D75" i="41"/>
  <c r="Y48" i="41" l="1"/>
  <c r="D48" i="41"/>
  <c r="F48" i="41" s="1"/>
  <c r="X48" i="41" l="1"/>
  <c r="Z48" i="41" s="1"/>
  <c r="D66" i="41"/>
  <c r="I74" i="41"/>
  <c r="E72" i="41"/>
  <c r="Y72" i="41" s="1"/>
  <c r="Z72" i="41" s="1"/>
  <c r="X70" i="41"/>
  <c r="U70" i="41"/>
  <c r="V70" i="41" s="1"/>
  <c r="F72" i="41" l="1"/>
  <c r="E75" i="41"/>
  <c r="Y70" i="41"/>
  <c r="Z70" i="41" s="1"/>
  <c r="J74" i="41"/>
  <c r="I75" i="41"/>
  <c r="X74" i="41"/>
  <c r="P75" i="41"/>
  <c r="Q74" i="41"/>
  <c r="Y74" i="41" s="1"/>
  <c r="M12" i="41"/>
  <c r="N12" i="41" s="1"/>
  <c r="I12" i="41"/>
  <c r="E12" i="41"/>
  <c r="N13" i="41"/>
  <c r="N11" i="41"/>
  <c r="Z74" i="41" l="1"/>
  <c r="R74" i="41"/>
  <c r="Q75" i="41"/>
  <c r="Q12" i="41"/>
  <c r="R57" i="41"/>
  <c r="V19" i="42" l="1"/>
  <c r="Q19" i="42"/>
  <c r="R19" i="42" s="1"/>
  <c r="Y65" i="41" l="1"/>
  <c r="X65" i="41"/>
  <c r="Z65" i="41" l="1"/>
  <c r="P32" i="41"/>
  <c r="P33" i="41" s="1"/>
  <c r="I32" i="41"/>
  <c r="I33" i="41" s="1"/>
  <c r="Q32" i="41" l="1"/>
  <c r="X32" i="41"/>
  <c r="L20" i="41"/>
  <c r="R131" i="41"/>
  <c r="M89" i="32"/>
  <c r="I89" i="32"/>
  <c r="E89" i="32"/>
  <c r="M98" i="42"/>
  <c r="M97" i="42"/>
  <c r="M96" i="42"/>
  <c r="I98" i="42"/>
  <c r="I97" i="42"/>
  <c r="I96" i="42"/>
  <c r="E98" i="42"/>
  <c r="E97" i="42"/>
  <c r="E96" i="42"/>
  <c r="M92" i="41"/>
  <c r="M91" i="41"/>
  <c r="M90" i="41"/>
  <c r="I92" i="41"/>
  <c r="I91" i="41"/>
  <c r="I90" i="41"/>
  <c r="E92" i="41"/>
  <c r="E91" i="41"/>
  <c r="E90" i="41"/>
  <c r="N14" i="41"/>
  <c r="N10" i="41"/>
  <c r="M88" i="32"/>
  <c r="I88" i="32"/>
  <c r="E88" i="32"/>
  <c r="Q88" i="32" l="1"/>
  <c r="Y32" i="41"/>
  <c r="Q33" i="41"/>
  <c r="Q96" i="42"/>
  <c r="Q97" i="42"/>
  <c r="Q98" i="42"/>
  <c r="Q90" i="41"/>
  <c r="R32" i="41"/>
  <c r="Z32" i="41" s="1"/>
  <c r="Q91" i="41"/>
  <c r="Q92" i="41"/>
  <c r="Q89" i="32"/>
  <c r="Y56" i="41"/>
  <c r="X56" i="41"/>
  <c r="R56" i="41"/>
  <c r="R55" i="41"/>
  <c r="Y54" i="41"/>
  <c r="X54" i="41"/>
  <c r="R54" i="41"/>
  <c r="R53" i="41"/>
  <c r="Y51" i="41"/>
  <c r="X51" i="41"/>
  <c r="R51" i="41"/>
  <c r="Y50" i="41"/>
  <c r="X50" i="41"/>
  <c r="R50" i="41"/>
  <c r="Y45" i="41"/>
  <c r="X45" i="41"/>
  <c r="R45" i="41"/>
  <c r="Y55" i="41"/>
  <c r="X55" i="41"/>
  <c r="N55" i="41"/>
  <c r="Y53" i="41"/>
  <c r="X53" i="41"/>
  <c r="N53" i="41"/>
  <c r="J47" i="41"/>
  <c r="Y47" i="41"/>
  <c r="X47" i="41"/>
  <c r="J49" i="41"/>
  <c r="Y49" i="41"/>
  <c r="X49" i="41"/>
  <c r="J46" i="41"/>
  <c r="Y46" i="41"/>
  <c r="X46" i="41"/>
  <c r="Y44" i="41"/>
  <c r="X44" i="41"/>
  <c r="J44" i="41"/>
  <c r="Y43" i="41"/>
  <c r="X43" i="41"/>
  <c r="J43" i="41"/>
  <c r="Y42" i="41"/>
  <c r="X42" i="41"/>
  <c r="J42" i="41"/>
  <c r="Y52" i="41"/>
  <c r="X52" i="41"/>
  <c r="F52" i="41"/>
  <c r="P96" i="32"/>
  <c r="Q90" i="32"/>
  <c r="X72" i="32"/>
  <c r="H73" i="32"/>
  <c r="X71" i="32"/>
  <c r="I71" i="32"/>
  <c r="J71" i="32" s="1"/>
  <c r="I72" i="32"/>
  <c r="J72" i="32" s="1"/>
  <c r="C72" i="32"/>
  <c r="Z42" i="41" l="1"/>
  <c r="Z45" i="41"/>
  <c r="Z52" i="41"/>
  <c r="Z50" i="41"/>
  <c r="Z47" i="41"/>
  <c r="Z43" i="41"/>
  <c r="Z49" i="41"/>
  <c r="Z51" i="41"/>
  <c r="Z54" i="41"/>
  <c r="Z56" i="41"/>
  <c r="Y72" i="32"/>
  <c r="Z72" i="32" s="1"/>
  <c r="Z44" i="41"/>
  <c r="Z46" i="41"/>
  <c r="Z55" i="41"/>
  <c r="Z53" i="41"/>
  <c r="Y71" i="32"/>
  <c r="Z71" i="32" s="1"/>
  <c r="X70" i="32"/>
  <c r="M70" i="32"/>
  <c r="Y70" i="32" s="1"/>
  <c r="Z70" i="32" l="1"/>
  <c r="N70" i="32"/>
  <c r="J130" i="41"/>
  <c r="M11" i="32" l="1"/>
  <c r="M10" i="32"/>
  <c r="I11" i="32"/>
  <c r="I10" i="32"/>
  <c r="E11" i="32"/>
  <c r="E10" i="32"/>
  <c r="H15" i="32"/>
  <c r="Q11" i="32" l="1"/>
  <c r="Q10" i="32"/>
  <c r="P42" i="32"/>
  <c r="Q25" i="32" l="1"/>
  <c r="D56" i="32" l="1"/>
  <c r="N127" i="41"/>
  <c r="M124" i="41"/>
  <c r="T73" i="32"/>
  <c r="I73" i="32"/>
  <c r="E73" i="32"/>
  <c r="D73" i="32"/>
  <c r="L73" i="32"/>
  <c r="M73" i="32"/>
  <c r="P73" i="32"/>
  <c r="M126" i="41" l="1"/>
  <c r="I129" i="41" l="1"/>
  <c r="I128" i="41" l="1"/>
  <c r="I125" i="41" l="1"/>
  <c r="I127" i="41" l="1"/>
  <c r="I126" i="41" l="1"/>
  <c r="I124" i="41" l="1"/>
  <c r="E124" i="41"/>
  <c r="Q130" i="41" l="1"/>
  <c r="Q129" i="41" l="1"/>
  <c r="Q128" i="41" l="1"/>
  <c r="M125" i="41"/>
  <c r="Q127" i="41" l="1"/>
  <c r="Q126" i="41" l="1"/>
  <c r="Q125" i="41" l="1"/>
  <c r="Q124" i="41"/>
  <c r="H65" i="32" l="1"/>
  <c r="Q69" i="32"/>
  <c r="M14" i="32"/>
  <c r="I14" i="32"/>
  <c r="E14" i="32"/>
  <c r="Q14" i="32" l="1"/>
  <c r="R69" i="32"/>
  <c r="X20" i="42" l="1"/>
  <c r="Y20" i="42"/>
  <c r="N134" i="42"/>
  <c r="U99" i="42"/>
  <c r="T99" i="42"/>
  <c r="P99" i="42"/>
  <c r="L99" i="42"/>
  <c r="H99" i="42"/>
  <c r="D99" i="42"/>
  <c r="X98" i="42"/>
  <c r="N98" i="42"/>
  <c r="J98" i="42"/>
  <c r="F98" i="42"/>
  <c r="X97" i="42"/>
  <c r="N97" i="42"/>
  <c r="J97" i="42"/>
  <c r="F97" i="42"/>
  <c r="X96" i="42"/>
  <c r="N96" i="42"/>
  <c r="J96" i="42"/>
  <c r="Y85" i="42"/>
  <c r="X85" i="42"/>
  <c r="V85" i="42"/>
  <c r="R85" i="42"/>
  <c r="N85" i="42"/>
  <c r="J85" i="42"/>
  <c r="F85" i="42"/>
  <c r="X73" i="42"/>
  <c r="U73" i="42"/>
  <c r="Y73" i="42" s="1"/>
  <c r="X72" i="42"/>
  <c r="U72" i="42"/>
  <c r="U69" i="42"/>
  <c r="T69" i="42"/>
  <c r="Q69" i="42"/>
  <c r="P69" i="42"/>
  <c r="M69" i="42"/>
  <c r="L69" i="42"/>
  <c r="I69" i="42"/>
  <c r="H69" i="42"/>
  <c r="E69" i="42"/>
  <c r="R55" i="42"/>
  <c r="Y43" i="42"/>
  <c r="X43" i="42"/>
  <c r="V43" i="42"/>
  <c r="Y42" i="42"/>
  <c r="X42" i="42"/>
  <c r="U33" i="42"/>
  <c r="T33" i="42"/>
  <c r="Q33" i="42"/>
  <c r="P33" i="42"/>
  <c r="M33" i="42"/>
  <c r="L33" i="42"/>
  <c r="I33" i="42"/>
  <c r="H33" i="42"/>
  <c r="E33" i="42"/>
  <c r="D33" i="42"/>
  <c r="Z32" i="42"/>
  <c r="Y32" i="42"/>
  <c r="X32" i="42"/>
  <c r="U29" i="42"/>
  <c r="H29" i="42"/>
  <c r="P29" i="42"/>
  <c r="L29" i="42"/>
  <c r="X18" i="42"/>
  <c r="Y18" i="42"/>
  <c r="U15" i="42"/>
  <c r="T15" i="42"/>
  <c r="P15" i="42"/>
  <c r="L15" i="42"/>
  <c r="H15" i="42"/>
  <c r="D15" i="42"/>
  <c r="X14" i="42"/>
  <c r="N14" i="42"/>
  <c r="J14" i="42"/>
  <c r="Y13" i="42"/>
  <c r="X13" i="42"/>
  <c r="R13" i="42"/>
  <c r="N13" i="42"/>
  <c r="J13" i="42"/>
  <c r="F13" i="42"/>
  <c r="X12" i="42"/>
  <c r="N12" i="42"/>
  <c r="J12" i="42"/>
  <c r="Y11" i="42"/>
  <c r="X11" i="42"/>
  <c r="R11" i="42"/>
  <c r="N11" i="42"/>
  <c r="J11" i="42"/>
  <c r="F11" i="42"/>
  <c r="X10" i="42"/>
  <c r="N10" i="42"/>
  <c r="X80" i="42" l="1"/>
  <c r="Y72" i="42"/>
  <c r="Y80" i="42" s="1"/>
  <c r="U80" i="42"/>
  <c r="U118" i="42"/>
  <c r="Z73" i="42"/>
  <c r="R80" i="42"/>
  <c r="Z85" i="42"/>
  <c r="F116" i="42"/>
  <c r="V116" i="42"/>
  <c r="X33" i="42"/>
  <c r="H118" i="42"/>
  <c r="N116" i="42"/>
  <c r="V15" i="42"/>
  <c r="V33" i="42"/>
  <c r="R69" i="42"/>
  <c r="F80" i="42"/>
  <c r="N69" i="42"/>
  <c r="Z42" i="42"/>
  <c r="Z13" i="42"/>
  <c r="Z11" i="42"/>
  <c r="J33" i="42"/>
  <c r="N80" i="42"/>
  <c r="X99" i="42"/>
  <c r="P118" i="42"/>
  <c r="Z18" i="42"/>
  <c r="F69" i="42"/>
  <c r="J80" i="42"/>
  <c r="Y33" i="42"/>
  <c r="Y88" i="42"/>
  <c r="T118" i="42"/>
  <c r="R96" i="42"/>
  <c r="V99" i="42"/>
  <c r="Y69" i="42"/>
  <c r="R116" i="42"/>
  <c r="Y14" i="42"/>
  <c r="R33" i="42"/>
  <c r="X19" i="42"/>
  <c r="R14" i="42"/>
  <c r="I29" i="42"/>
  <c r="J29" i="42" s="1"/>
  <c r="I15" i="42"/>
  <c r="T29" i="42"/>
  <c r="V69" i="42"/>
  <c r="V73" i="42"/>
  <c r="Y97" i="42"/>
  <c r="Y116" i="42"/>
  <c r="N33" i="42"/>
  <c r="J69" i="42"/>
  <c r="R98" i="42"/>
  <c r="Z98" i="42" s="1"/>
  <c r="E149" i="42" s="1"/>
  <c r="J116" i="42"/>
  <c r="D118" i="42"/>
  <c r="F33" i="42"/>
  <c r="Z43" i="42"/>
  <c r="F88" i="42"/>
  <c r="L118" i="42"/>
  <c r="V72" i="42"/>
  <c r="X116" i="42"/>
  <c r="Z20" i="42"/>
  <c r="Y19" i="42"/>
  <c r="Y10" i="42"/>
  <c r="M99" i="42"/>
  <c r="M118" i="42" s="1"/>
  <c r="R12" i="42"/>
  <c r="E15" i="42"/>
  <c r="E29" i="42"/>
  <c r="F29" i="42" s="1"/>
  <c r="F96" i="42"/>
  <c r="M15" i="42"/>
  <c r="N15" i="42" s="1"/>
  <c r="X15" i="42"/>
  <c r="F10" i="42"/>
  <c r="X28" i="42"/>
  <c r="Q29" i="42"/>
  <c r="E99" i="42"/>
  <c r="X69" i="42"/>
  <c r="X88" i="42"/>
  <c r="J10" i="42"/>
  <c r="F12" i="42"/>
  <c r="V80" i="42"/>
  <c r="I99" i="42"/>
  <c r="I118" i="42" s="1"/>
  <c r="F14" i="42"/>
  <c r="Z14" i="42" l="1"/>
  <c r="Z80" i="42"/>
  <c r="Z72" i="42"/>
  <c r="J15" i="42"/>
  <c r="F15" i="42"/>
  <c r="R29" i="42"/>
  <c r="V118" i="42"/>
  <c r="J118" i="42"/>
  <c r="Z69" i="42"/>
  <c r="N118" i="42"/>
  <c r="Y96" i="42"/>
  <c r="J99" i="42"/>
  <c r="Z116" i="42"/>
  <c r="Z12" i="42"/>
  <c r="Z88" i="42"/>
  <c r="Y98" i="42"/>
  <c r="Z19" i="42"/>
  <c r="Z33" i="42"/>
  <c r="R97" i="42"/>
  <c r="Z97" i="42" s="1"/>
  <c r="V29" i="42"/>
  <c r="X29" i="42"/>
  <c r="Q99" i="42"/>
  <c r="Y99" i="42" s="1"/>
  <c r="X118" i="42"/>
  <c r="Y28" i="42"/>
  <c r="M29" i="42"/>
  <c r="Y29" i="42" s="1"/>
  <c r="E118" i="42"/>
  <c r="F99" i="42"/>
  <c r="Q15" i="42"/>
  <c r="Y15" i="42" s="1"/>
  <c r="R10" i="42"/>
  <c r="Z10" i="42" s="1"/>
  <c r="N99" i="42"/>
  <c r="Y12" i="42"/>
  <c r="Z28" i="42"/>
  <c r="Z96" i="42"/>
  <c r="Y60" i="41"/>
  <c r="Y64" i="41"/>
  <c r="R63" i="41"/>
  <c r="X64" i="41"/>
  <c r="Y63" i="41"/>
  <c r="X63" i="41"/>
  <c r="Y62" i="41"/>
  <c r="X62" i="41"/>
  <c r="Y61" i="41"/>
  <c r="X61" i="41"/>
  <c r="X60" i="41"/>
  <c r="Y59" i="41"/>
  <c r="X59" i="41"/>
  <c r="Y58" i="41"/>
  <c r="X58" i="41"/>
  <c r="N58" i="41"/>
  <c r="J61" i="41"/>
  <c r="J59" i="41"/>
  <c r="F62" i="41"/>
  <c r="D80" i="32"/>
  <c r="Q79" i="32"/>
  <c r="Q80" i="32" s="1"/>
  <c r="M79" i="32"/>
  <c r="M80" i="32" s="1"/>
  <c r="U80" i="32"/>
  <c r="T80" i="32"/>
  <c r="P80" i="32"/>
  <c r="L80" i="32"/>
  <c r="I80" i="32"/>
  <c r="H80" i="32"/>
  <c r="E80" i="32"/>
  <c r="Y78" i="32"/>
  <c r="X78" i="32"/>
  <c r="V78" i="32"/>
  <c r="R78" i="32"/>
  <c r="J78" i="32"/>
  <c r="F78" i="32"/>
  <c r="Z78" i="32" l="1"/>
  <c r="Z61" i="41"/>
  <c r="E148" i="42"/>
  <c r="Z62" i="41"/>
  <c r="Z58" i="41"/>
  <c r="Z59" i="41"/>
  <c r="Z64" i="41"/>
  <c r="R99" i="42"/>
  <c r="Z99" i="42" s="1"/>
  <c r="Q118" i="42"/>
  <c r="R118" i="42" s="1"/>
  <c r="F118" i="42"/>
  <c r="N29" i="42"/>
  <c r="Z29" i="42" s="1"/>
  <c r="R15" i="42"/>
  <c r="Z15" i="42" s="1"/>
  <c r="Z60" i="41"/>
  <c r="R60" i="41"/>
  <c r="Z63" i="41"/>
  <c r="R64" i="41"/>
  <c r="R58" i="41"/>
  <c r="R79" i="32"/>
  <c r="N78" i="32"/>
  <c r="Z118" i="42" l="1"/>
  <c r="Y118" i="42"/>
  <c r="U105" i="32"/>
  <c r="P105" i="32"/>
  <c r="L105" i="32"/>
  <c r="H105" i="32"/>
  <c r="D105" i="32"/>
  <c r="X104" i="32"/>
  <c r="Q104" i="32"/>
  <c r="Y104" i="32" s="1"/>
  <c r="X103" i="32"/>
  <c r="Q103" i="32"/>
  <c r="Y103" i="32" s="1"/>
  <c r="X102" i="32"/>
  <c r="Q102" i="32"/>
  <c r="R102" i="32" s="1"/>
  <c r="Z102" i="32" s="1"/>
  <c r="X101" i="32"/>
  <c r="E101" i="32"/>
  <c r="F101" i="32" s="1"/>
  <c r="Z101" i="32" s="1"/>
  <c r="X100" i="32"/>
  <c r="I100" i="32"/>
  <c r="Y100" i="32" s="1"/>
  <c r="X99" i="32"/>
  <c r="Q99" i="32"/>
  <c r="Y99" i="32" s="1"/>
  <c r="X98" i="32"/>
  <c r="I98" i="32"/>
  <c r="Y98" i="32" s="1"/>
  <c r="X97" i="32"/>
  <c r="Q97" i="32"/>
  <c r="R97" i="32" s="1"/>
  <c r="M97" i="32"/>
  <c r="N97" i="32" s="1"/>
  <c r="X96" i="32"/>
  <c r="Q96" i="32"/>
  <c r="T95" i="32"/>
  <c r="Q95" i="32" s="1"/>
  <c r="X94" i="32"/>
  <c r="V94" i="32"/>
  <c r="Q94" i="32"/>
  <c r="R94" i="32" s="1"/>
  <c r="X24" i="41"/>
  <c r="E24" i="41"/>
  <c r="Y24" i="41" s="1"/>
  <c r="X20" i="41"/>
  <c r="Q20" i="41"/>
  <c r="M20" i="41"/>
  <c r="N20" i="41" s="1"/>
  <c r="X27" i="41"/>
  <c r="X26" i="41"/>
  <c r="Q27" i="41"/>
  <c r="R27" i="41" s="1"/>
  <c r="Z27" i="41" s="1"/>
  <c r="Q26" i="41"/>
  <c r="R26" i="41" s="1"/>
  <c r="Z26" i="41" s="1"/>
  <c r="X25" i="41"/>
  <c r="Q25" i="41"/>
  <c r="R25" i="41" s="1"/>
  <c r="Z25" i="41" s="1"/>
  <c r="X23" i="41"/>
  <c r="I23" i="41"/>
  <c r="J23" i="41" s="1"/>
  <c r="Z23" i="41" s="1"/>
  <c r="X22" i="41"/>
  <c r="Q22" i="41"/>
  <c r="R22" i="41" s="1"/>
  <c r="Z22" i="41" s="1"/>
  <c r="X21" i="41"/>
  <c r="I21" i="41"/>
  <c r="J21" i="41" s="1"/>
  <c r="Z21" i="41" s="1"/>
  <c r="Q18" i="41"/>
  <c r="T19" i="41"/>
  <c r="Q19" i="41" s="1"/>
  <c r="Z97" i="32" l="1"/>
  <c r="R96" i="32"/>
  <c r="Z96" i="32" s="1"/>
  <c r="Q105" i="32"/>
  <c r="I105" i="32"/>
  <c r="R99" i="32"/>
  <c r="Z99" i="32" s="1"/>
  <c r="Z94" i="32"/>
  <c r="Y96" i="32"/>
  <c r="Y102" i="32"/>
  <c r="M105" i="32"/>
  <c r="Y97" i="32"/>
  <c r="T105" i="32"/>
  <c r="E105" i="32"/>
  <c r="Y26" i="41"/>
  <c r="Y27" i="41"/>
  <c r="R95" i="32"/>
  <c r="Y95" i="32"/>
  <c r="R104" i="32"/>
  <c r="Z104" i="32" s="1"/>
  <c r="V95" i="32"/>
  <c r="X95" i="32"/>
  <c r="J98" i="32"/>
  <c r="Z98" i="32" s="1"/>
  <c r="Y101" i="32"/>
  <c r="R103" i="32"/>
  <c r="Z103" i="32" s="1"/>
  <c r="Y94" i="32"/>
  <c r="J100" i="32"/>
  <c r="Z100" i="32" s="1"/>
  <c r="Y23" i="41"/>
  <c r="Y21" i="41"/>
  <c r="Y20" i="41"/>
  <c r="Y22" i="41"/>
  <c r="Y25" i="41"/>
  <c r="F24" i="41"/>
  <c r="Z24" i="41" s="1"/>
  <c r="R20" i="41"/>
  <c r="Z20" i="41" s="1"/>
  <c r="Z95" i="32" l="1"/>
  <c r="M12" i="32" l="1"/>
  <c r="I12" i="32"/>
  <c r="I15" i="32" s="1"/>
  <c r="E12" i="32"/>
  <c r="Q12" i="32" l="1"/>
  <c r="Y57" i="41"/>
  <c r="X57" i="41"/>
  <c r="Z57" i="41" l="1"/>
  <c r="R44" i="32"/>
  <c r="Y46" i="32"/>
  <c r="X46" i="32"/>
  <c r="R46" i="32"/>
  <c r="Y48" i="32"/>
  <c r="X48" i="32"/>
  <c r="R48" i="32"/>
  <c r="Y45" i="32"/>
  <c r="X45" i="32"/>
  <c r="R45" i="32"/>
  <c r="Y51" i="32"/>
  <c r="X51" i="32"/>
  <c r="N51" i="32"/>
  <c r="Y43" i="32"/>
  <c r="X43" i="32"/>
  <c r="Y47" i="32"/>
  <c r="X47" i="32"/>
  <c r="J47" i="32"/>
  <c r="Y44" i="32"/>
  <c r="X44" i="32"/>
  <c r="J44" i="32"/>
  <c r="J52" i="32"/>
  <c r="Y52" i="32"/>
  <c r="X52" i="32"/>
  <c r="J50" i="32"/>
  <c r="Y50" i="32"/>
  <c r="X50" i="32"/>
  <c r="J49" i="32"/>
  <c r="J43" i="32"/>
  <c r="Y49" i="32"/>
  <c r="X49" i="32"/>
  <c r="R64" i="32"/>
  <c r="J63" i="32"/>
  <c r="R62" i="32"/>
  <c r="R61" i="32"/>
  <c r="R60" i="32"/>
  <c r="N60" i="32"/>
  <c r="F59" i="32"/>
  <c r="R58" i="32"/>
  <c r="R57" i="32"/>
  <c r="N57" i="32"/>
  <c r="F56" i="32"/>
  <c r="R55" i="32"/>
  <c r="R54" i="32"/>
  <c r="J53" i="32"/>
  <c r="P28" i="32"/>
  <c r="Z47" i="32" l="1"/>
  <c r="Z48" i="32"/>
  <c r="Z50" i="32"/>
  <c r="Z51" i="32"/>
  <c r="Z43" i="32"/>
  <c r="Z44" i="32"/>
  <c r="Z46" i="32"/>
  <c r="Z45" i="32"/>
  <c r="Z49" i="32"/>
  <c r="Z52" i="32"/>
  <c r="Y64" i="32"/>
  <c r="X64" i="32"/>
  <c r="Y63" i="32"/>
  <c r="X63" i="32"/>
  <c r="Y62" i="32"/>
  <c r="X62" i="32"/>
  <c r="Y61" i="32"/>
  <c r="X61" i="32"/>
  <c r="Y60" i="32"/>
  <c r="X60" i="32"/>
  <c r="Y59" i="32"/>
  <c r="X59" i="32"/>
  <c r="Y58" i="32"/>
  <c r="X58" i="32"/>
  <c r="Y57" i="32"/>
  <c r="X57" i="32"/>
  <c r="Y56" i="32"/>
  <c r="X56" i="32"/>
  <c r="Y55" i="32"/>
  <c r="X55" i="32"/>
  <c r="Y54" i="32"/>
  <c r="X54" i="32"/>
  <c r="Y53" i="32"/>
  <c r="X53" i="32"/>
  <c r="Y42" i="32"/>
  <c r="X42" i="32"/>
  <c r="N42" i="32"/>
  <c r="Z42" i="32" l="1"/>
  <c r="Z60" i="32"/>
  <c r="Z64" i="32"/>
  <c r="Z56" i="32"/>
  <c r="Z59" i="32"/>
  <c r="Z63" i="32"/>
  <c r="Z62" i="32"/>
  <c r="Z55" i="32"/>
  <c r="Z54" i="32"/>
  <c r="Z53" i="32"/>
  <c r="Z58" i="32"/>
  <c r="Z57" i="32"/>
  <c r="Z61" i="32"/>
  <c r="R42" i="32"/>
  <c r="P60" i="31" l="1"/>
  <c r="M60" i="31"/>
  <c r="L60" i="31"/>
  <c r="I60" i="31"/>
  <c r="H60" i="31"/>
  <c r="D59" i="31"/>
  <c r="E59" i="31" s="1"/>
  <c r="Y59" i="31" s="1"/>
  <c r="D44" i="31"/>
  <c r="U93" i="41"/>
  <c r="T93" i="41"/>
  <c r="P93" i="41"/>
  <c r="L93" i="41"/>
  <c r="H93" i="41"/>
  <c r="D93" i="41"/>
  <c r="D109" i="41" s="1"/>
  <c r="X92" i="41"/>
  <c r="J92" i="41"/>
  <c r="X91" i="41"/>
  <c r="N91" i="41"/>
  <c r="J91" i="41"/>
  <c r="X90" i="41"/>
  <c r="J90" i="41"/>
  <c r="Y80" i="41"/>
  <c r="X80" i="41"/>
  <c r="V80" i="41"/>
  <c r="R80" i="41"/>
  <c r="N80" i="41"/>
  <c r="J80" i="41"/>
  <c r="F80" i="41"/>
  <c r="X69" i="41"/>
  <c r="U69" i="41"/>
  <c r="U75" i="41" s="1"/>
  <c r="U66" i="41"/>
  <c r="Q66" i="41"/>
  <c r="I66" i="41"/>
  <c r="H66" i="41"/>
  <c r="E66" i="41"/>
  <c r="Y41" i="41"/>
  <c r="X41" i="41"/>
  <c r="V41" i="41"/>
  <c r="Y40" i="41"/>
  <c r="X40" i="41"/>
  <c r="V40" i="41"/>
  <c r="U28" i="41"/>
  <c r="H28" i="41"/>
  <c r="V19" i="41"/>
  <c r="X18" i="41"/>
  <c r="Y18" i="41"/>
  <c r="U15" i="41"/>
  <c r="T15" i="41"/>
  <c r="P15" i="41"/>
  <c r="L15" i="41"/>
  <c r="H15" i="41"/>
  <c r="D15" i="41"/>
  <c r="X14" i="41"/>
  <c r="Y13" i="41"/>
  <c r="X13" i="41"/>
  <c r="R13" i="41"/>
  <c r="J13" i="41"/>
  <c r="F13" i="41"/>
  <c r="X12" i="41"/>
  <c r="J12" i="41"/>
  <c r="F12" i="41"/>
  <c r="Y11" i="41"/>
  <c r="X11" i="41"/>
  <c r="R11" i="41"/>
  <c r="J11" i="41"/>
  <c r="F11" i="41"/>
  <c r="X10" i="41"/>
  <c r="J10" i="41"/>
  <c r="M10" i="31"/>
  <c r="I10" i="31"/>
  <c r="E10" i="31"/>
  <c r="T57" i="31"/>
  <c r="Q57" i="31" s="1"/>
  <c r="R57" i="31" s="1"/>
  <c r="R127" i="32"/>
  <c r="P40" i="31"/>
  <c r="H40" i="31"/>
  <c r="J128" i="32"/>
  <c r="N124" i="32"/>
  <c r="L49" i="31"/>
  <c r="H48" i="31"/>
  <c r="P42" i="31"/>
  <c r="M14" i="31"/>
  <c r="I14" i="31"/>
  <c r="E14" i="31"/>
  <c r="Q14" i="31" l="1"/>
  <c r="R75" i="41"/>
  <c r="Z80" i="41"/>
  <c r="V107" i="41"/>
  <c r="F75" i="41"/>
  <c r="Q10" i="31"/>
  <c r="D60" i="31"/>
  <c r="T60" i="31"/>
  <c r="E60" i="31"/>
  <c r="X59" i="31"/>
  <c r="Z59" i="31" s="1"/>
  <c r="V15" i="41"/>
  <c r="H109" i="41"/>
  <c r="V66" i="41"/>
  <c r="N33" i="41"/>
  <c r="F59" i="31"/>
  <c r="E93" i="41"/>
  <c r="F93" i="41" s="1"/>
  <c r="R33" i="41"/>
  <c r="Z41" i="41"/>
  <c r="F66" i="41"/>
  <c r="J75" i="41"/>
  <c r="J33" i="41"/>
  <c r="P28" i="41"/>
  <c r="L109" i="41"/>
  <c r="V33" i="41"/>
  <c r="J66" i="41"/>
  <c r="J107" i="41"/>
  <c r="R14" i="41"/>
  <c r="Z13" i="41"/>
  <c r="R12" i="41"/>
  <c r="Y33" i="41"/>
  <c r="V69" i="41"/>
  <c r="V75" i="41" s="1"/>
  <c r="Z11" i="41"/>
  <c r="Y10" i="41"/>
  <c r="T28" i="41"/>
  <c r="V28" i="41" s="1"/>
  <c r="Y69" i="41"/>
  <c r="Z69" i="41" s="1"/>
  <c r="M93" i="41"/>
  <c r="M109" i="41" s="1"/>
  <c r="R92" i="41"/>
  <c r="T109" i="41"/>
  <c r="E15" i="41"/>
  <c r="F15" i="41" s="1"/>
  <c r="U109" i="41"/>
  <c r="X33" i="41"/>
  <c r="R19" i="41"/>
  <c r="Z19" i="41" s="1"/>
  <c r="Y66" i="41"/>
  <c r="N75" i="41"/>
  <c r="N107" i="41"/>
  <c r="P66" i="41"/>
  <c r="R66" i="41" s="1"/>
  <c r="L28" i="41"/>
  <c r="J14" i="41"/>
  <c r="M15" i="41"/>
  <c r="N15" i="41" s="1"/>
  <c r="R107" i="41"/>
  <c r="P109" i="41"/>
  <c r="F91" i="41"/>
  <c r="R91" i="41"/>
  <c r="N92" i="41"/>
  <c r="Y107" i="41"/>
  <c r="X15" i="41"/>
  <c r="D28" i="41"/>
  <c r="F10" i="41"/>
  <c r="F33" i="41"/>
  <c r="I93" i="41"/>
  <c r="I109" i="41" s="1"/>
  <c r="X75" i="41"/>
  <c r="I28" i="41"/>
  <c r="J28" i="41" s="1"/>
  <c r="N90" i="41"/>
  <c r="I15" i="41"/>
  <c r="V18" i="41"/>
  <c r="R18" i="41"/>
  <c r="X19" i="41"/>
  <c r="Z40" i="41"/>
  <c r="X93" i="41"/>
  <c r="F14" i="41"/>
  <c r="F90" i="41"/>
  <c r="F92" i="41"/>
  <c r="V93" i="41"/>
  <c r="P29" i="32"/>
  <c r="J109" i="41" l="1"/>
  <c r="Z33" i="41"/>
  <c r="Z18" i="41"/>
  <c r="Y12" i="41"/>
  <c r="E109" i="41"/>
  <c r="V109" i="41"/>
  <c r="N109" i="41"/>
  <c r="Q28" i="41"/>
  <c r="R28" i="41" s="1"/>
  <c r="Z92" i="41"/>
  <c r="E136" i="41" s="1"/>
  <c r="Y19" i="41"/>
  <c r="R10" i="41"/>
  <c r="Z10" i="41" s="1"/>
  <c r="Y92" i="41"/>
  <c r="J93" i="41"/>
  <c r="Q15" i="41"/>
  <c r="R15" i="41" s="1"/>
  <c r="N93" i="41"/>
  <c r="Y14" i="41"/>
  <c r="Y91" i="41"/>
  <c r="Z12" i="41"/>
  <c r="X28" i="41"/>
  <c r="Z91" i="41"/>
  <c r="E135" i="41" s="1"/>
  <c r="E28" i="41"/>
  <c r="F28" i="41" s="1"/>
  <c r="J15" i="41"/>
  <c r="R90" i="41"/>
  <c r="Z90" i="41" s="1"/>
  <c r="Q93" i="41"/>
  <c r="X66" i="41"/>
  <c r="Z66" i="41" s="1"/>
  <c r="Y90" i="41"/>
  <c r="Z14" i="41"/>
  <c r="Y75" i="41"/>
  <c r="Z75" i="41" s="1"/>
  <c r="M28" i="41"/>
  <c r="N28" i="41" s="1"/>
  <c r="Q68" i="31"/>
  <c r="Q69" i="31" s="1"/>
  <c r="X67" i="31"/>
  <c r="E67" i="31"/>
  <c r="E69" i="31" s="1"/>
  <c r="U69" i="31"/>
  <c r="T69" i="31"/>
  <c r="P69" i="31"/>
  <c r="L69" i="31"/>
  <c r="I69" i="31"/>
  <c r="H69" i="31"/>
  <c r="D69" i="31"/>
  <c r="L20" i="32"/>
  <c r="L85" i="31"/>
  <c r="M85" i="31" s="1"/>
  <c r="D24" i="32"/>
  <c r="X24" i="32" s="1"/>
  <c r="X66" i="31"/>
  <c r="M66" i="31"/>
  <c r="N66" i="31" s="1"/>
  <c r="T84" i="31"/>
  <c r="X84" i="31" s="1"/>
  <c r="T83" i="31"/>
  <c r="X83" i="31" s="1"/>
  <c r="T19" i="32"/>
  <c r="T18" i="32"/>
  <c r="V18" i="32" s="1"/>
  <c r="U33" i="32"/>
  <c r="M78" i="31"/>
  <c r="I78" i="31"/>
  <c r="E78" i="31"/>
  <c r="X97" i="31"/>
  <c r="Q97" i="31"/>
  <c r="Y97" i="31" s="1"/>
  <c r="X96" i="31"/>
  <c r="I96" i="31"/>
  <c r="J96" i="31" s="1"/>
  <c r="Z96" i="31" s="1"/>
  <c r="X95" i="31"/>
  <c r="Q95" i="31"/>
  <c r="Y95" i="31" s="1"/>
  <c r="X94" i="31"/>
  <c r="Q94" i="31"/>
  <c r="Y94" i="31" s="1"/>
  <c r="X93" i="31"/>
  <c r="Q93" i="31"/>
  <c r="R93" i="31" s="1"/>
  <c r="M93" i="31"/>
  <c r="X92" i="31"/>
  <c r="E92" i="31"/>
  <c r="Y92" i="31" s="1"/>
  <c r="X91" i="31"/>
  <c r="Q91" i="31"/>
  <c r="Y91" i="31" s="1"/>
  <c r="X90" i="31"/>
  <c r="Q90" i="31"/>
  <c r="R90" i="31" s="1"/>
  <c r="M90" i="31"/>
  <c r="N90" i="31" s="1"/>
  <c r="X89" i="31"/>
  <c r="E89" i="31"/>
  <c r="F89" i="31" s="1"/>
  <c r="Z89" i="31" s="1"/>
  <c r="X88" i="31"/>
  <c r="Q88" i="31"/>
  <c r="Y88" i="31" s="1"/>
  <c r="X87" i="31"/>
  <c r="Q87" i="31"/>
  <c r="R87" i="31" s="1"/>
  <c r="Z87" i="31" s="1"/>
  <c r="X86" i="31"/>
  <c r="I86" i="31"/>
  <c r="Y86" i="31" s="1"/>
  <c r="P85" i="31"/>
  <c r="X32" i="32"/>
  <c r="X31" i="32"/>
  <c r="X30" i="32"/>
  <c r="X29" i="32"/>
  <c r="X28" i="32"/>
  <c r="X27" i="32"/>
  <c r="X26" i="32"/>
  <c r="X25" i="32"/>
  <c r="X23" i="32"/>
  <c r="X22" i="32"/>
  <c r="X21" i="32"/>
  <c r="H33" i="32"/>
  <c r="P20" i="32"/>
  <c r="Q20" i="32" s="1"/>
  <c r="R20" i="32" s="1"/>
  <c r="Q32" i="32"/>
  <c r="R32" i="32" s="1"/>
  <c r="Z32" i="32" s="1"/>
  <c r="I31" i="32"/>
  <c r="J31" i="32" s="1"/>
  <c r="Z31" i="32" s="1"/>
  <c r="Q30" i="32"/>
  <c r="R30" i="32" s="1"/>
  <c r="Z30" i="32" s="1"/>
  <c r="Q29" i="32"/>
  <c r="R29" i="32" s="1"/>
  <c r="Z29" i="32" s="1"/>
  <c r="Q28" i="32"/>
  <c r="R28" i="32" s="1"/>
  <c r="M28" i="32"/>
  <c r="N28" i="32" s="1"/>
  <c r="E27" i="32"/>
  <c r="F27" i="32" s="1"/>
  <c r="Z27" i="32" s="1"/>
  <c r="Z26" i="32"/>
  <c r="R25" i="32"/>
  <c r="M25" i="32"/>
  <c r="N25" i="32" s="1"/>
  <c r="Q23" i="32"/>
  <c r="R23" i="32" s="1"/>
  <c r="Z23" i="32" s="1"/>
  <c r="Q22" i="32"/>
  <c r="Y22" i="32" s="1"/>
  <c r="I21" i="32"/>
  <c r="J21" i="32" s="1"/>
  <c r="Z21" i="32" s="1"/>
  <c r="Z90" i="31" l="1"/>
  <c r="Q83" i="31"/>
  <c r="R83" i="31" s="1"/>
  <c r="E144" i="42"/>
  <c r="E143" i="42"/>
  <c r="D81" i="41"/>
  <c r="E114" i="41"/>
  <c r="Y93" i="31"/>
  <c r="Q78" i="31"/>
  <c r="Q84" i="31"/>
  <c r="Y84" i="31" s="1"/>
  <c r="Z28" i="32"/>
  <c r="Z25" i="32"/>
  <c r="Y31" i="32"/>
  <c r="R22" i="32"/>
  <c r="Z22" i="32" s="1"/>
  <c r="Y89" i="31"/>
  <c r="Y87" i="31"/>
  <c r="M69" i="31"/>
  <c r="R88" i="31"/>
  <c r="Z88" i="31" s="1"/>
  <c r="Y83" i="31"/>
  <c r="Y15" i="41"/>
  <c r="Z28" i="41"/>
  <c r="Q109" i="41"/>
  <c r="R93" i="41"/>
  <c r="Z93" i="41" s="1"/>
  <c r="Y93" i="41"/>
  <c r="Z15" i="41"/>
  <c r="Y28" i="41"/>
  <c r="E24" i="32"/>
  <c r="F24" i="32" s="1"/>
  <c r="Z24" i="32" s="1"/>
  <c r="Y28" i="32"/>
  <c r="Y32" i="32"/>
  <c r="Y25" i="32"/>
  <c r="D33" i="32"/>
  <c r="X20" i="32"/>
  <c r="I33" i="32"/>
  <c r="Y26" i="32"/>
  <c r="L33" i="32"/>
  <c r="Y23" i="32"/>
  <c r="Y29" i="32"/>
  <c r="Q18" i="32"/>
  <c r="Y18" i="32" s="1"/>
  <c r="Y21" i="32"/>
  <c r="Y27" i="32"/>
  <c r="Y30" i="32"/>
  <c r="R68" i="31"/>
  <c r="F67" i="31"/>
  <c r="Y67" i="31"/>
  <c r="Z67" i="31" s="1"/>
  <c r="Y66" i="31"/>
  <c r="Z66" i="31" s="1"/>
  <c r="R84" i="31"/>
  <c r="V84" i="31"/>
  <c r="V83" i="31"/>
  <c r="Z83" i="31" s="1"/>
  <c r="X18" i="32"/>
  <c r="X85" i="31"/>
  <c r="Q85" i="31"/>
  <c r="R85" i="31" s="1"/>
  <c r="N93" i="31"/>
  <c r="Z93" i="31" s="1"/>
  <c r="Y90" i="31"/>
  <c r="Y96" i="31"/>
  <c r="N85" i="31"/>
  <c r="F92" i="31"/>
  <c r="Z92" i="31" s="1"/>
  <c r="R95" i="31"/>
  <c r="Z95" i="31" s="1"/>
  <c r="J86" i="31"/>
  <c r="Z86" i="31" s="1"/>
  <c r="R91" i="31"/>
  <c r="Z91" i="31" s="1"/>
  <c r="R97" i="31"/>
  <c r="Z97" i="31" s="1"/>
  <c r="R94" i="31"/>
  <c r="Z94" i="31" s="1"/>
  <c r="M20" i="32"/>
  <c r="Y20" i="32" s="1"/>
  <c r="D82" i="41" l="1"/>
  <c r="X81" i="41"/>
  <c r="E81" i="41"/>
  <c r="Z84" i="31"/>
  <c r="Z85" i="31"/>
  <c r="Y109" i="41"/>
  <c r="R109" i="41"/>
  <c r="R18" i="32"/>
  <c r="Z18" i="32" s="1"/>
  <c r="Y24" i="32"/>
  <c r="E33" i="32"/>
  <c r="Y85" i="31"/>
  <c r="N20" i="32"/>
  <c r="Z20" i="32" s="1"/>
  <c r="Y81" i="41" l="1"/>
  <c r="Z81" i="41" s="1"/>
  <c r="E82" i="41"/>
  <c r="Y82" i="41" s="1"/>
  <c r="F81" i="41"/>
  <c r="X82" i="41"/>
  <c r="P33" i="31"/>
  <c r="P15" i="31"/>
  <c r="F82" i="41" l="1"/>
  <c r="Z82" i="41"/>
  <c r="N13" i="28"/>
  <c r="J13" i="28"/>
  <c r="F13" i="28"/>
  <c r="D41" i="23" l="1"/>
  <c r="D28" i="22"/>
  <c r="D39" i="15"/>
  <c r="D50" i="11"/>
  <c r="D43" i="11"/>
  <c r="Y46" i="11"/>
  <c r="X46" i="11"/>
  <c r="Z46" i="11" s="1"/>
  <c r="V46" i="11"/>
  <c r="X47" i="11"/>
  <c r="V47" i="11"/>
  <c r="Q47" i="11"/>
  <c r="Y47" i="11" s="1"/>
  <c r="D46" i="9"/>
  <c r="Q52" i="39"/>
  <c r="D44" i="38"/>
  <c r="U35" i="37"/>
  <c r="Q35" i="37"/>
  <c r="M35" i="37"/>
  <c r="L35" i="37"/>
  <c r="I35" i="37"/>
  <c r="E35" i="37"/>
  <c r="D35" i="37"/>
  <c r="Y29" i="37"/>
  <c r="X29" i="37"/>
  <c r="V29" i="37"/>
  <c r="Z29" i="37" s="1"/>
  <c r="Z47" i="11" l="1"/>
  <c r="R47" i="11"/>
  <c r="P20" i="11"/>
  <c r="L19" i="11" l="1"/>
  <c r="Y44" i="31" l="1"/>
  <c r="X44" i="31"/>
  <c r="F44" i="31"/>
  <c r="Z44" i="31" l="1"/>
  <c r="Y31" i="29"/>
  <c r="X31" i="29"/>
  <c r="J31" i="29"/>
  <c r="Z31" i="29" l="1"/>
  <c r="Y38" i="9"/>
  <c r="X38" i="9"/>
  <c r="F38" i="9"/>
  <c r="Z38" i="9" s="1"/>
  <c r="Y33" i="9" l="1"/>
  <c r="X33" i="9"/>
  <c r="R33" i="9"/>
  <c r="N33" i="9"/>
  <c r="Y32" i="9"/>
  <c r="X32" i="9"/>
  <c r="R32" i="9"/>
  <c r="Z33" i="9" l="1"/>
  <c r="Z32" i="9"/>
  <c r="X44" i="29"/>
  <c r="V44" i="29"/>
  <c r="Q44" i="29"/>
  <c r="R44" i="29" s="1"/>
  <c r="X45" i="29"/>
  <c r="U45" i="29"/>
  <c r="V45" i="29" s="1"/>
  <c r="X62" i="28"/>
  <c r="Q62" i="28"/>
  <c r="Y62" i="28" s="1"/>
  <c r="X63" i="28"/>
  <c r="I63" i="28"/>
  <c r="Y63" i="28" s="1"/>
  <c r="P67" i="40"/>
  <c r="X67" i="40" s="1"/>
  <c r="M67" i="40"/>
  <c r="N67" i="40" s="1"/>
  <c r="X51" i="40"/>
  <c r="I51" i="40"/>
  <c r="Y51" i="40" s="1"/>
  <c r="X50" i="40"/>
  <c r="Q50" i="40"/>
  <c r="R50" i="40" s="1"/>
  <c r="M50" i="40"/>
  <c r="Y37" i="39"/>
  <c r="P37" i="39"/>
  <c r="L37" i="39"/>
  <c r="N37" i="39" s="1"/>
  <c r="X49" i="25"/>
  <c r="M11" i="39"/>
  <c r="I11" i="39"/>
  <c r="E11" i="39"/>
  <c r="Y50" i="40" l="1"/>
  <c r="Q11" i="39"/>
  <c r="X37" i="39"/>
  <c r="Y45" i="29"/>
  <c r="Z45" i="29" s="1"/>
  <c r="Y44" i="29"/>
  <c r="Z44" i="29" s="1"/>
  <c r="R62" i="28"/>
  <c r="Z62" i="28"/>
  <c r="Z63" i="28"/>
  <c r="J63" i="28"/>
  <c r="Q67" i="40"/>
  <c r="Y67" i="40" s="1"/>
  <c r="J51" i="40"/>
  <c r="Z51" i="40" s="1"/>
  <c r="N50" i="40"/>
  <c r="Z50" i="40" s="1"/>
  <c r="R37" i="39"/>
  <c r="Z37" i="39" s="1"/>
  <c r="R34" i="38"/>
  <c r="H48" i="38"/>
  <c r="R67" i="40" l="1"/>
  <c r="Z67" i="40" s="1"/>
  <c r="Q24" i="37"/>
  <c r="R24" i="37" s="1"/>
  <c r="I48" i="38"/>
  <c r="E26" i="25" l="1"/>
  <c r="Q49" i="40" l="1"/>
  <c r="P19" i="40"/>
  <c r="P26" i="40"/>
  <c r="Q43" i="40" l="1"/>
  <c r="R43" i="40" s="1"/>
  <c r="X42" i="40"/>
  <c r="M42" i="40"/>
  <c r="Y42" i="40" s="1"/>
  <c r="N42" i="40" l="1"/>
  <c r="Z42" i="40" s="1"/>
  <c r="P44" i="40"/>
  <c r="L44" i="40"/>
  <c r="D44" i="40"/>
  <c r="X41" i="40"/>
  <c r="M41" i="40"/>
  <c r="Y41" i="40" s="1"/>
  <c r="N41" i="40" l="1"/>
  <c r="Z41" i="40" s="1"/>
  <c r="U44" i="40"/>
  <c r="I44" i="40"/>
  <c r="H44" i="40"/>
  <c r="E44" i="40"/>
  <c r="T40" i="40"/>
  <c r="X40" i="40" s="1"/>
  <c r="T44" i="40" l="1"/>
  <c r="Q40" i="40"/>
  <c r="R40" i="40" s="1"/>
  <c r="M44" i="40"/>
  <c r="V40" i="40"/>
  <c r="Y40" i="40" l="1"/>
  <c r="Q44" i="40"/>
  <c r="Z40" i="40"/>
  <c r="Y34" i="40" l="1"/>
  <c r="P34" i="40"/>
  <c r="P34" i="37"/>
  <c r="P35" i="37" s="1"/>
  <c r="P19" i="39"/>
  <c r="M56" i="39"/>
  <c r="N56" i="39" s="1"/>
  <c r="R34" i="40" l="1"/>
  <c r="Z34" i="40" s="1"/>
  <c r="X34" i="40"/>
  <c r="Q19" i="39" l="1"/>
  <c r="L19" i="39"/>
  <c r="M19" i="39" s="1"/>
  <c r="N19" i="39" s="1"/>
  <c r="X19" i="39" l="1"/>
  <c r="R19" i="39"/>
  <c r="Z19" i="39" s="1"/>
  <c r="Y19" i="39"/>
  <c r="Y48" i="38" l="1"/>
  <c r="X48" i="38"/>
  <c r="H23" i="9" l="1"/>
  <c r="Y32" i="40" l="1"/>
  <c r="X32" i="40"/>
  <c r="J32" i="40"/>
  <c r="Z32" i="40" s="1"/>
  <c r="X54" i="9" l="1"/>
  <c r="I54" i="9"/>
  <c r="Y54" i="9" s="1"/>
  <c r="J54" i="9" l="1"/>
  <c r="Z54" i="9" s="1"/>
  <c r="J48" i="38" l="1"/>
  <c r="Z48" i="38" s="1"/>
  <c r="H34" i="38"/>
  <c r="I57" i="39" l="1"/>
  <c r="J57" i="39" s="1"/>
  <c r="X56" i="39"/>
  <c r="Q56" i="39"/>
  <c r="R56" i="39" s="1"/>
  <c r="Z56" i="39" s="1"/>
  <c r="Y56" i="39" l="1"/>
  <c r="J96" i="38"/>
  <c r="J110" i="39"/>
  <c r="R110" i="39"/>
  <c r="N110" i="39"/>
  <c r="R109" i="39"/>
  <c r="R105" i="40" s="1"/>
  <c r="N109" i="39"/>
  <c r="N105" i="40" s="1"/>
  <c r="J108" i="39"/>
  <c r="J103" i="40" s="1"/>
  <c r="N108" i="39"/>
  <c r="J105" i="40"/>
  <c r="J104" i="40"/>
  <c r="R106" i="40"/>
  <c r="N106" i="40"/>
  <c r="F104" i="40"/>
  <c r="U75" i="40"/>
  <c r="T75" i="40"/>
  <c r="L75" i="40"/>
  <c r="E75" i="40"/>
  <c r="D75" i="40"/>
  <c r="X74" i="40"/>
  <c r="M74" i="40"/>
  <c r="Y74" i="40" s="1"/>
  <c r="X73" i="40"/>
  <c r="I73" i="40"/>
  <c r="J73" i="40" s="1"/>
  <c r="Z73" i="40" s="1"/>
  <c r="X72" i="40"/>
  <c r="I72" i="40"/>
  <c r="Y72" i="40" s="1"/>
  <c r="Q71" i="40"/>
  <c r="R71" i="40" s="1"/>
  <c r="H71" i="40"/>
  <c r="X71" i="40" s="1"/>
  <c r="X70" i="40"/>
  <c r="I70" i="40"/>
  <c r="Y70" i="40" s="1"/>
  <c r="X69" i="40"/>
  <c r="Q69" i="40"/>
  <c r="R69" i="40" s="1"/>
  <c r="Z69" i="40" s="1"/>
  <c r="X68" i="40"/>
  <c r="Q68" i="40"/>
  <c r="R68" i="40" s="1"/>
  <c r="Z68" i="40" s="1"/>
  <c r="X66" i="40"/>
  <c r="V66" i="40"/>
  <c r="Q66" i="40"/>
  <c r="Y66" i="40" s="1"/>
  <c r="U63" i="40"/>
  <c r="T63" i="40"/>
  <c r="P63" i="40"/>
  <c r="L63" i="40"/>
  <c r="L77" i="40" s="1"/>
  <c r="H63" i="40"/>
  <c r="D63" i="40"/>
  <c r="X62" i="40"/>
  <c r="M62" i="40"/>
  <c r="N62" i="40" s="1"/>
  <c r="I62" i="40"/>
  <c r="J62" i="40" s="1"/>
  <c r="E62" i="40"/>
  <c r="X61" i="40"/>
  <c r="M61" i="40"/>
  <c r="I61" i="40"/>
  <c r="E61" i="40"/>
  <c r="U53" i="40"/>
  <c r="T53" i="40"/>
  <c r="P53" i="40"/>
  <c r="L53" i="40"/>
  <c r="H53" i="40"/>
  <c r="E53" i="40"/>
  <c r="D53" i="40"/>
  <c r="I53" i="40"/>
  <c r="X52" i="40"/>
  <c r="M52" i="40"/>
  <c r="X49" i="40"/>
  <c r="Y49" i="40"/>
  <c r="J44" i="40"/>
  <c r="Y43" i="40"/>
  <c r="U37" i="40"/>
  <c r="T37" i="40"/>
  <c r="Q37" i="40"/>
  <c r="M37" i="40"/>
  <c r="L37" i="40"/>
  <c r="I37" i="40"/>
  <c r="H37" i="40"/>
  <c r="E37" i="40"/>
  <c r="Y36" i="40"/>
  <c r="X36" i="40"/>
  <c r="F36" i="40"/>
  <c r="Z36" i="40" s="1"/>
  <c r="Y35" i="40"/>
  <c r="D35" i="40"/>
  <c r="Y33" i="40"/>
  <c r="X33" i="40"/>
  <c r="J33" i="40"/>
  <c r="Z33" i="40" s="1"/>
  <c r="Y31" i="40"/>
  <c r="X31" i="40"/>
  <c r="J31" i="40"/>
  <c r="Z31" i="40" s="1"/>
  <c r="Y30" i="40"/>
  <c r="X30" i="40"/>
  <c r="R30" i="40"/>
  <c r="Z30" i="40" s="1"/>
  <c r="Y29" i="40"/>
  <c r="X29" i="40"/>
  <c r="N29" i="40"/>
  <c r="Z29" i="40" s="1"/>
  <c r="Y28" i="40"/>
  <c r="X28" i="40"/>
  <c r="N28" i="40"/>
  <c r="Z28" i="40" s="1"/>
  <c r="Y27" i="40"/>
  <c r="X27" i="40"/>
  <c r="J27" i="40"/>
  <c r="Z27" i="40" s="1"/>
  <c r="Y26" i="40"/>
  <c r="P37" i="40"/>
  <c r="N26" i="40"/>
  <c r="Y25" i="40"/>
  <c r="X25" i="40"/>
  <c r="R25" i="40"/>
  <c r="Z25" i="40" s="1"/>
  <c r="Y24" i="40"/>
  <c r="X24" i="40"/>
  <c r="V24" i="40"/>
  <c r="Z24" i="40" s="1"/>
  <c r="Y23" i="40"/>
  <c r="X23" i="40"/>
  <c r="V23" i="40"/>
  <c r="Z23" i="40" s="1"/>
  <c r="U20" i="40"/>
  <c r="T20" i="40"/>
  <c r="L20" i="40"/>
  <c r="I20" i="40"/>
  <c r="H20" i="40"/>
  <c r="E20" i="40"/>
  <c r="D20" i="40"/>
  <c r="X19" i="40"/>
  <c r="M19" i="40"/>
  <c r="N19" i="40" s="1"/>
  <c r="X18" i="40"/>
  <c r="V18" i="40"/>
  <c r="Q18" i="40"/>
  <c r="U15" i="40"/>
  <c r="T15" i="40"/>
  <c r="P15" i="40"/>
  <c r="L15" i="40"/>
  <c r="H15" i="40"/>
  <c r="D15" i="40"/>
  <c r="X14" i="40"/>
  <c r="M14" i="40"/>
  <c r="N14" i="40" s="1"/>
  <c r="I14" i="40"/>
  <c r="J14" i="40" s="1"/>
  <c r="E14" i="40"/>
  <c r="X12" i="40"/>
  <c r="M12" i="40"/>
  <c r="I12" i="40"/>
  <c r="J12" i="40" s="1"/>
  <c r="E12" i="40"/>
  <c r="F12" i="40" s="1"/>
  <c r="X11" i="40"/>
  <c r="M11" i="40"/>
  <c r="N11" i="40" s="1"/>
  <c r="I11" i="40"/>
  <c r="E11" i="40"/>
  <c r="X10" i="40"/>
  <c r="M10" i="40"/>
  <c r="N10" i="40" s="1"/>
  <c r="I10" i="40"/>
  <c r="E10" i="40"/>
  <c r="V7" i="40"/>
  <c r="U80" i="39"/>
  <c r="T80" i="39"/>
  <c r="L80" i="39"/>
  <c r="I80" i="39"/>
  <c r="H80" i="39"/>
  <c r="J80" i="39" s="1"/>
  <c r="E80" i="39"/>
  <c r="D80" i="39"/>
  <c r="P79" i="39"/>
  <c r="P80" i="39" s="1"/>
  <c r="M79" i="39"/>
  <c r="M80" i="39" s="1"/>
  <c r="X78" i="39"/>
  <c r="V78" i="39"/>
  <c r="Q78" i="39"/>
  <c r="R78" i="39" s="1"/>
  <c r="U75" i="39"/>
  <c r="T75" i="39"/>
  <c r="P75" i="39"/>
  <c r="L75" i="39"/>
  <c r="H75" i="39"/>
  <c r="D75" i="39"/>
  <c r="X74" i="39"/>
  <c r="M74" i="39"/>
  <c r="I74" i="39"/>
  <c r="J74" i="39" s="1"/>
  <c r="E74" i="39"/>
  <c r="X73" i="39"/>
  <c r="M73" i="39"/>
  <c r="N73" i="39" s="1"/>
  <c r="I73" i="39"/>
  <c r="E73" i="39"/>
  <c r="U65" i="39"/>
  <c r="T65" i="39"/>
  <c r="P65" i="39"/>
  <c r="L65" i="39"/>
  <c r="I65" i="39"/>
  <c r="H65" i="39"/>
  <c r="E65" i="39"/>
  <c r="D65" i="39"/>
  <c r="X64" i="39"/>
  <c r="Q64" i="39"/>
  <c r="R64" i="39" s="1"/>
  <c r="M64" i="39"/>
  <c r="N64" i="39" s="1"/>
  <c r="X63" i="39"/>
  <c r="Q63" i="39"/>
  <c r="P58" i="39"/>
  <c r="M58" i="39"/>
  <c r="L58" i="39"/>
  <c r="J58" i="39"/>
  <c r="I58" i="39"/>
  <c r="H58" i="39"/>
  <c r="E58" i="39"/>
  <c r="D58" i="39"/>
  <c r="Y57" i="39"/>
  <c r="X57" i="39"/>
  <c r="Z57" i="39"/>
  <c r="T55" i="39"/>
  <c r="T58" i="39" s="1"/>
  <c r="U52" i="39"/>
  <c r="T52" i="39"/>
  <c r="P52" i="39"/>
  <c r="M52" i="39"/>
  <c r="L52" i="39"/>
  <c r="I52" i="39"/>
  <c r="E52" i="39"/>
  <c r="Y51" i="39"/>
  <c r="X51" i="39"/>
  <c r="F51" i="39"/>
  <c r="Z51" i="39" s="1"/>
  <c r="Y50" i="39"/>
  <c r="D50" i="39"/>
  <c r="D52" i="39" s="1"/>
  <c r="Y49" i="39"/>
  <c r="X49" i="39"/>
  <c r="R49" i="39"/>
  <c r="Z49" i="39" s="1"/>
  <c r="Y48" i="39"/>
  <c r="H48" i="39"/>
  <c r="J48" i="39" s="1"/>
  <c r="Z48" i="39" s="1"/>
  <c r="Y47" i="39"/>
  <c r="X47" i="39"/>
  <c r="R47" i="39"/>
  <c r="Z47" i="39" s="1"/>
  <c r="Y46" i="39"/>
  <c r="X46" i="39"/>
  <c r="N46" i="39"/>
  <c r="Z46" i="39" s="1"/>
  <c r="Y45" i="39"/>
  <c r="X45" i="39"/>
  <c r="J45" i="39"/>
  <c r="Z45" i="39" s="1"/>
  <c r="Y44" i="39"/>
  <c r="X44" i="39"/>
  <c r="J44" i="39"/>
  <c r="Z44" i="39" s="1"/>
  <c r="Y43" i="39"/>
  <c r="X43" i="39"/>
  <c r="R43" i="39"/>
  <c r="Z43" i="39" s="1"/>
  <c r="Y42" i="39"/>
  <c r="X42" i="39"/>
  <c r="J42" i="39"/>
  <c r="Z42" i="39" s="1"/>
  <c r="Y41" i="39"/>
  <c r="X41" i="39"/>
  <c r="N41" i="39"/>
  <c r="Z41" i="39" s="1"/>
  <c r="Y40" i="39"/>
  <c r="X40" i="39"/>
  <c r="N40" i="39"/>
  <c r="Z40" i="39" s="1"/>
  <c r="Y39" i="39"/>
  <c r="H39" i="39"/>
  <c r="Y38" i="39"/>
  <c r="X38" i="39"/>
  <c r="J38" i="39"/>
  <c r="Z38" i="39" s="1"/>
  <c r="Y36" i="39"/>
  <c r="X36" i="39"/>
  <c r="R36" i="39"/>
  <c r="Z36" i="39" s="1"/>
  <c r="Y35" i="39"/>
  <c r="X35" i="39"/>
  <c r="V35" i="39"/>
  <c r="Z35" i="39" s="1"/>
  <c r="Y34" i="39"/>
  <c r="X34" i="39"/>
  <c r="V34" i="39"/>
  <c r="Z34" i="39" s="1"/>
  <c r="U31" i="39"/>
  <c r="T31" i="39"/>
  <c r="P31" i="39"/>
  <c r="L31" i="39"/>
  <c r="H31" i="39"/>
  <c r="D31" i="39"/>
  <c r="X30" i="39"/>
  <c r="E30" i="39"/>
  <c r="Y30" i="39" s="1"/>
  <c r="X29" i="39"/>
  <c r="E29" i="39"/>
  <c r="Y29" i="39" s="1"/>
  <c r="X28" i="39"/>
  <c r="Q28" i="39"/>
  <c r="R28" i="39" s="1"/>
  <c r="Z28" i="39" s="1"/>
  <c r="X27" i="39"/>
  <c r="I27" i="39"/>
  <c r="Y27" i="39" s="1"/>
  <c r="X26" i="39"/>
  <c r="Q26" i="39"/>
  <c r="Y26" i="39" s="1"/>
  <c r="X25" i="39"/>
  <c r="M25" i="39"/>
  <c r="M31" i="39" s="1"/>
  <c r="X24" i="39"/>
  <c r="I24" i="39"/>
  <c r="Y24" i="39" s="1"/>
  <c r="X23" i="39"/>
  <c r="I23" i="39"/>
  <c r="U20" i="39"/>
  <c r="T20" i="39"/>
  <c r="I20" i="39"/>
  <c r="H20" i="39"/>
  <c r="E20" i="39"/>
  <c r="D20" i="39"/>
  <c r="L20" i="39"/>
  <c r="X18" i="39"/>
  <c r="V18" i="39"/>
  <c r="Q18" i="39"/>
  <c r="Y18" i="39" s="1"/>
  <c r="U15" i="39"/>
  <c r="T15" i="39"/>
  <c r="P15" i="39"/>
  <c r="L15" i="39"/>
  <c r="H15" i="39"/>
  <c r="D15" i="39"/>
  <c r="X14" i="39"/>
  <c r="M14" i="39"/>
  <c r="N14" i="39" s="1"/>
  <c r="I14" i="39"/>
  <c r="J14" i="39" s="1"/>
  <c r="E14" i="39"/>
  <c r="X12" i="39"/>
  <c r="M12" i="39"/>
  <c r="N12" i="39" s="1"/>
  <c r="I12" i="39"/>
  <c r="J12" i="39" s="1"/>
  <c r="E12" i="39"/>
  <c r="X11" i="39"/>
  <c r="N11" i="39"/>
  <c r="J11" i="39"/>
  <c r="X10" i="39"/>
  <c r="M10" i="39"/>
  <c r="N10" i="39" s="1"/>
  <c r="I10" i="39"/>
  <c r="J10" i="39" s="1"/>
  <c r="E10" i="39"/>
  <c r="V7" i="39"/>
  <c r="U71" i="38"/>
  <c r="T71" i="38"/>
  <c r="P71" i="38"/>
  <c r="L71" i="38"/>
  <c r="I71" i="38"/>
  <c r="H71" i="38"/>
  <c r="E71" i="38"/>
  <c r="D71" i="38"/>
  <c r="X70" i="38"/>
  <c r="Q70" i="38"/>
  <c r="R70" i="38" s="1"/>
  <c r="M70" i="38"/>
  <c r="M71" i="38" s="1"/>
  <c r="X69" i="38"/>
  <c r="V69" i="38"/>
  <c r="Q69" i="38"/>
  <c r="Y69" i="38" s="1"/>
  <c r="U66" i="38"/>
  <c r="T66" i="38"/>
  <c r="P66" i="38"/>
  <c r="L66" i="38"/>
  <c r="H66" i="38"/>
  <c r="D66" i="38"/>
  <c r="X65" i="38"/>
  <c r="M65" i="38"/>
  <c r="N65" i="38" s="1"/>
  <c r="I65" i="38"/>
  <c r="J65" i="38" s="1"/>
  <c r="E65" i="38"/>
  <c r="X64" i="38"/>
  <c r="M64" i="38"/>
  <c r="I64" i="38"/>
  <c r="E64" i="38"/>
  <c r="E66" i="38" s="1"/>
  <c r="U56" i="38"/>
  <c r="T56" i="38"/>
  <c r="P56" i="38"/>
  <c r="L56" i="38"/>
  <c r="I56" i="38"/>
  <c r="H56" i="38"/>
  <c r="E56" i="38"/>
  <c r="D56" i="38"/>
  <c r="X55" i="38"/>
  <c r="Q55" i="38"/>
  <c r="M55" i="38"/>
  <c r="M56" i="38" s="1"/>
  <c r="U50" i="38"/>
  <c r="P50" i="38"/>
  <c r="M50" i="38"/>
  <c r="L50" i="38"/>
  <c r="J50" i="38"/>
  <c r="E50" i="38"/>
  <c r="D50" i="38"/>
  <c r="H49" i="38"/>
  <c r="T47" i="38"/>
  <c r="Q47" i="38" s="1"/>
  <c r="U44" i="38"/>
  <c r="Q44" i="38"/>
  <c r="M44" i="38"/>
  <c r="L44" i="38"/>
  <c r="I44" i="38"/>
  <c r="E44" i="38"/>
  <c r="Y43" i="38"/>
  <c r="X43" i="38"/>
  <c r="R43" i="38"/>
  <c r="Z43" i="38" s="1"/>
  <c r="Y42" i="38"/>
  <c r="X42" i="38"/>
  <c r="J42" i="38"/>
  <c r="Z42" i="38" s="1"/>
  <c r="Y41" i="38"/>
  <c r="X41" i="38"/>
  <c r="N41" i="38"/>
  <c r="Z41" i="38" s="1"/>
  <c r="Y40" i="38"/>
  <c r="X40" i="38"/>
  <c r="N40" i="38"/>
  <c r="Z40" i="38" s="1"/>
  <c r="Y39" i="38"/>
  <c r="H39" i="38"/>
  <c r="J39" i="38" s="1"/>
  <c r="Z39" i="38" s="1"/>
  <c r="Y38" i="38"/>
  <c r="X38" i="38"/>
  <c r="J38" i="38"/>
  <c r="Z38" i="38" s="1"/>
  <c r="Y37" i="38"/>
  <c r="X37" i="38"/>
  <c r="J37" i="38"/>
  <c r="Z37" i="38" s="1"/>
  <c r="Y36" i="38"/>
  <c r="X36" i="38"/>
  <c r="R36" i="38"/>
  <c r="N36" i="38"/>
  <c r="Y35" i="38"/>
  <c r="P35" i="38"/>
  <c r="X35" i="38" s="1"/>
  <c r="J35" i="38"/>
  <c r="Y34" i="38"/>
  <c r="X34" i="38"/>
  <c r="H44" i="38"/>
  <c r="Y33" i="38"/>
  <c r="T33" i="38"/>
  <c r="T44" i="38" s="1"/>
  <c r="V44" i="38" s="1"/>
  <c r="Y32" i="38"/>
  <c r="X32" i="38"/>
  <c r="V32" i="38"/>
  <c r="Z32" i="38" s="1"/>
  <c r="U29" i="38"/>
  <c r="T29" i="38"/>
  <c r="P29" i="38"/>
  <c r="L29" i="38"/>
  <c r="H29" i="38"/>
  <c r="E29" i="38"/>
  <c r="D29" i="38"/>
  <c r="X28" i="38"/>
  <c r="Q28" i="38"/>
  <c r="R28" i="38" s="1"/>
  <c r="Z28" i="38" s="1"/>
  <c r="X27" i="38"/>
  <c r="I27" i="38"/>
  <c r="J27" i="38" s="1"/>
  <c r="Z27" i="38" s="1"/>
  <c r="X26" i="38"/>
  <c r="M26" i="38"/>
  <c r="Y26" i="38" s="1"/>
  <c r="X25" i="38"/>
  <c r="M25" i="38"/>
  <c r="N25" i="38" s="1"/>
  <c r="Z25" i="38" s="1"/>
  <c r="X24" i="38"/>
  <c r="I24" i="38"/>
  <c r="Y24" i="38" s="1"/>
  <c r="X23" i="38"/>
  <c r="I23" i="38"/>
  <c r="Y23" i="38" s="1"/>
  <c r="X22" i="38"/>
  <c r="I22" i="38"/>
  <c r="J22" i="38" s="1"/>
  <c r="Z22" i="38" s="1"/>
  <c r="U19" i="38"/>
  <c r="T19" i="38"/>
  <c r="P19" i="38"/>
  <c r="M19" i="38"/>
  <c r="L19" i="38"/>
  <c r="I19" i="38"/>
  <c r="H19" i="38"/>
  <c r="E19" i="38"/>
  <c r="D19" i="38"/>
  <c r="X18" i="38"/>
  <c r="V18" i="38"/>
  <c r="Q18" i="38"/>
  <c r="Q19" i="38" s="1"/>
  <c r="U15" i="38"/>
  <c r="T15" i="38"/>
  <c r="P15" i="38"/>
  <c r="L15" i="38"/>
  <c r="H15" i="38"/>
  <c r="D15" i="38"/>
  <c r="X14" i="38"/>
  <c r="M14" i="38"/>
  <c r="N14" i="38" s="1"/>
  <c r="I14" i="38"/>
  <c r="J14" i="38" s="1"/>
  <c r="E14" i="38"/>
  <c r="X12" i="38"/>
  <c r="M12" i="38"/>
  <c r="N12" i="38" s="1"/>
  <c r="I12" i="38"/>
  <c r="E12" i="38"/>
  <c r="F12" i="38" s="1"/>
  <c r="Y11" i="38"/>
  <c r="X11" i="38"/>
  <c r="R11" i="38"/>
  <c r="N11" i="38"/>
  <c r="J11" i="38"/>
  <c r="F11" i="38"/>
  <c r="X10" i="38"/>
  <c r="M10" i="38"/>
  <c r="I10" i="38"/>
  <c r="J10" i="38" s="1"/>
  <c r="E10" i="38"/>
  <c r="F10" i="38" s="1"/>
  <c r="V7" i="38"/>
  <c r="U59" i="37"/>
  <c r="T59" i="37"/>
  <c r="P59" i="37"/>
  <c r="M59" i="37"/>
  <c r="L59" i="37"/>
  <c r="I59" i="37"/>
  <c r="H59" i="37"/>
  <c r="E59" i="37"/>
  <c r="D59" i="37"/>
  <c r="X58" i="37"/>
  <c r="V58" i="37"/>
  <c r="Q58" i="37"/>
  <c r="R58" i="37" s="1"/>
  <c r="U55" i="37"/>
  <c r="T55" i="37"/>
  <c r="P55" i="37"/>
  <c r="L55" i="37"/>
  <c r="H55" i="37"/>
  <c r="D55" i="37"/>
  <c r="X54" i="37"/>
  <c r="M54" i="37"/>
  <c r="N54" i="37" s="1"/>
  <c r="I54" i="37"/>
  <c r="J54" i="37" s="1"/>
  <c r="E54" i="37"/>
  <c r="X53" i="37"/>
  <c r="M53" i="37"/>
  <c r="I53" i="37"/>
  <c r="J53" i="37" s="1"/>
  <c r="E53" i="37"/>
  <c r="U45" i="37"/>
  <c r="T45" i="37"/>
  <c r="Q45" i="37"/>
  <c r="P45" i="37"/>
  <c r="M45" i="37"/>
  <c r="L45" i="37"/>
  <c r="I45" i="37"/>
  <c r="H45" i="37"/>
  <c r="E45" i="37"/>
  <c r="D45" i="37"/>
  <c r="Y44" i="37"/>
  <c r="X44" i="37"/>
  <c r="V44" i="37"/>
  <c r="R44" i="37"/>
  <c r="N44" i="37"/>
  <c r="J44" i="37"/>
  <c r="F44" i="37"/>
  <c r="U39" i="37"/>
  <c r="P39" i="37"/>
  <c r="M39" i="37"/>
  <c r="L39" i="37"/>
  <c r="J39" i="37"/>
  <c r="H39" i="37"/>
  <c r="E39" i="37"/>
  <c r="D39" i="37"/>
  <c r="T38" i="37"/>
  <c r="V38" i="37" s="1"/>
  <c r="Y34" i="37"/>
  <c r="J34" i="37"/>
  <c r="Y33" i="37"/>
  <c r="H33" i="37"/>
  <c r="Y32" i="37"/>
  <c r="X32" i="37"/>
  <c r="R32" i="37"/>
  <c r="Z32" i="37" s="1"/>
  <c r="Y31" i="37"/>
  <c r="X31" i="37"/>
  <c r="R31" i="37"/>
  <c r="N31" i="37"/>
  <c r="Y30" i="37"/>
  <c r="T30" i="37"/>
  <c r="U26" i="37"/>
  <c r="T26" i="37"/>
  <c r="P26" i="37"/>
  <c r="L26" i="37"/>
  <c r="H26" i="37"/>
  <c r="E26" i="37"/>
  <c r="D26" i="37"/>
  <c r="X25" i="37"/>
  <c r="Q25" i="37"/>
  <c r="R25" i="37" s="1"/>
  <c r="I25" i="37"/>
  <c r="J25" i="37" s="1"/>
  <c r="X24" i="37"/>
  <c r="I24" i="37"/>
  <c r="Y24" i="37" s="1"/>
  <c r="X23" i="37"/>
  <c r="Q23" i="37"/>
  <c r="Y23" i="37" s="1"/>
  <c r="X22" i="37"/>
  <c r="Q22" i="37"/>
  <c r="R22" i="37" s="1"/>
  <c r="M22" i="37"/>
  <c r="N22" i="37" s="1"/>
  <c r="U19" i="37"/>
  <c r="T19" i="37"/>
  <c r="P19" i="37"/>
  <c r="M19" i="37"/>
  <c r="L19" i="37"/>
  <c r="I19" i="37"/>
  <c r="H19" i="37"/>
  <c r="J19" i="37" s="1"/>
  <c r="E19" i="37"/>
  <c r="D19" i="37"/>
  <c r="X18" i="37"/>
  <c r="V18" i="37"/>
  <c r="Q18" i="37"/>
  <c r="Y18" i="37" s="1"/>
  <c r="U15" i="37"/>
  <c r="T15" i="37"/>
  <c r="P15" i="37"/>
  <c r="L15" i="37"/>
  <c r="H15" i="37"/>
  <c r="D15" i="37"/>
  <c r="X14" i="37"/>
  <c r="M14" i="37"/>
  <c r="N14" i="37" s="1"/>
  <c r="I14" i="37"/>
  <c r="J14" i="37" s="1"/>
  <c r="E14" i="37"/>
  <c r="Y12" i="37"/>
  <c r="X12" i="37"/>
  <c r="R12" i="37"/>
  <c r="N12" i="37"/>
  <c r="J12" i="37"/>
  <c r="F12" i="37"/>
  <c r="Y11" i="37"/>
  <c r="X11" i="37"/>
  <c r="R11" i="37"/>
  <c r="N11" i="37"/>
  <c r="J11" i="37"/>
  <c r="F11" i="37"/>
  <c r="X10" i="37"/>
  <c r="M10" i="37"/>
  <c r="M15" i="37" s="1"/>
  <c r="I10" i="37"/>
  <c r="I15" i="37" s="1"/>
  <c r="E10" i="37"/>
  <c r="F10" i="37" s="1"/>
  <c r="Y7" i="37"/>
  <c r="X7" i="37"/>
  <c r="V7" i="37"/>
  <c r="R7" i="37"/>
  <c r="N7" i="37"/>
  <c r="J7" i="37"/>
  <c r="F7" i="37"/>
  <c r="F45" i="37" l="1"/>
  <c r="Z31" i="37"/>
  <c r="V45" i="37"/>
  <c r="V56" i="38"/>
  <c r="V19" i="38"/>
  <c r="Y22" i="38"/>
  <c r="E73" i="38"/>
  <c r="R19" i="38"/>
  <c r="X30" i="37"/>
  <c r="T35" i="37"/>
  <c r="Z7" i="37"/>
  <c r="X33" i="37"/>
  <c r="H35" i="37"/>
  <c r="D61" i="37"/>
  <c r="U73" i="38"/>
  <c r="X35" i="40"/>
  <c r="D37" i="40"/>
  <c r="R45" i="37"/>
  <c r="J59" i="37"/>
  <c r="V29" i="38"/>
  <c r="J109" i="39"/>
  <c r="F39" i="37"/>
  <c r="Z44" i="37"/>
  <c r="F29" i="38"/>
  <c r="X56" i="38"/>
  <c r="V59" i="37"/>
  <c r="I66" i="38"/>
  <c r="V15" i="37"/>
  <c r="H61" i="37"/>
  <c r="F59" i="37"/>
  <c r="Z36" i="38"/>
  <c r="Z11" i="38"/>
  <c r="I49" i="38"/>
  <c r="Y49" i="38" s="1"/>
  <c r="X49" i="38"/>
  <c r="V19" i="37"/>
  <c r="V35" i="37"/>
  <c r="N39" i="37"/>
  <c r="F50" i="38"/>
  <c r="V66" i="38"/>
  <c r="M15" i="38"/>
  <c r="N15" i="38" s="1"/>
  <c r="X19" i="38"/>
  <c r="M29" i="38"/>
  <c r="Q38" i="37"/>
  <c r="Q39" i="37" s="1"/>
  <c r="R39" i="37" s="1"/>
  <c r="U61" i="37"/>
  <c r="N59" i="37"/>
  <c r="Y25" i="38"/>
  <c r="N44" i="38"/>
  <c r="F56" i="38"/>
  <c r="J71" i="38"/>
  <c r="Q14" i="39"/>
  <c r="R14" i="39" s="1"/>
  <c r="J20" i="39"/>
  <c r="V31" i="39"/>
  <c r="L82" i="39"/>
  <c r="F65" i="39"/>
  <c r="J20" i="40"/>
  <c r="E15" i="40"/>
  <c r="F15" i="40" s="1"/>
  <c r="Q19" i="40"/>
  <c r="R19" i="40" s="1"/>
  <c r="Z19" i="40" s="1"/>
  <c r="M20" i="40"/>
  <c r="N37" i="40"/>
  <c r="F75" i="40"/>
  <c r="Y68" i="40"/>
  <c r="F20" i="40"/>
  <c r="R18" i="40"/>
  <c r="Z18" i="40" s="1"/>
  <c r="Y18" i="40"/>
  <c r="R37" i="40"/>
  <c r="V53" i="40"/>
  <c r="J70" i="40"/>
  <c r="Z70" i="40" s="1"/>
  <c r="E63" i="40"/>
  <c r="F63" i="40" s="1"/>
  <c r="V63" i="40"/>
  <c r="Q11" i="40"/>
  <c r="R11" i="40" s="1"/>
  <c r="M53" i="40"/>
  <c r="N53" i="40" s="1"/>
  <c r="I63" i="40"/>
  <c r="J63" i="40" s="1"/>
  <c r="Y73" i="40"/>
  <c r="V75" i="40"/>
  <c r="F53" i="40"/>
  <c r="M20" i="39"/>
  <c r="N20" i="39" s="1"/>
  <c r="H52" i="39"/>
  <c r="J52" i="39" s="1"/>
  <c r="F20" i="39"/>
  <c r="J65" i="39"/>
  <c r="T82" i="39"/>
  <c r="J106" i="40"/>
  <c r="V20" i="39"/>
  <c r="Z78" i="39"/>
  <c r="F103" i="40"/>
  <c r="F105" i="40" s="1"/>
  <c r="Y22" i="37"/>
  <c r="V26" i="37"/>
  <c r="M55" i="37"/>
  <c r="N55" i="37" s="1"/>
  <c r="Y58" i="37"/>
  <c r="E15" i="37"/>
  <c r="E41" i="37" s="1"/>
  <c r="V30" i="37"/>
  <c r="Z30" i="37" s="1"/>
  <c r="F19" i="37"/>
  <c r="F35" i="37"/>
  <c r="V55" i="37"/>
  <c r="N35" i="37"/>
  <c r="M26" i="37"/>
  <c r="N26" i="37" s="1"/>
  <c r="X45" i="37"/>
  <c r="Q65" i="39"/>
  <c r="R65" i="39" s="1"/>
  <c r="N79" i="39"/>
  <c r="J24" i="39"/>
  <c r="Z24" i="39" s="1"/>
  <c r="M65" i="39"/>
  <c r="Q12" i="39"/>
  <c r="R12" i="39" s="1"/>
  <c r="N31" i="39"/>
  <c r="N52" i="39"/>
  <c r="Q73" i="39"/>
  <c r="R73" i="39" s="1"/>
  <c r="N19" i="37"/>
  <c r="X80" i="39"/>
  <c r="J11" i="40"/>
  <c r="J37" i="40"/>
  <c r="H41" i="37"/>
  <c r="N55" i="38"/>
  <c r="H73" i="38"/>
  <c r="R18" i="39"/>
  <c r="Z18" i="39" s="1"/>
  <c r="U82" i="39"/>
  <c r="R66" i="40"/>
  <c r="Z66" i="40" s="1"/>
  <c r="D41" i="37"/>
  <c r="L61" i="37"/>
  <c r="R18" i="38"/>
  <c r="Z18" i="38" s="1"/>
  <c r="N19" i="38"/>
  <c r="N26" i="38"/>
  <c r="Z26" i="38" s="1"/>
  <c r="H50" i="38"/>
  <c r="Y55" i="38"/>
  <c r="M66" i="38"/>
  <c r="N66" i="38" s="1"/>
  <c r="X66" i="38"/>
  <c r="E31" i="39"/>
  <c r="F31" i="39" s="1"/>
  <c r="Y63" i="39"/>
  <c r="I75" i="39"/>
  <c r="I82" i="39" s="1"/>
  <c r="F10" i="40"/>
  <c r="J61" i="40"/>
  <c r="N74" i="40"/>
  <c r="Z74" i="40" s="1"/>
  <c r="J10" i="37"/>
  <c r="I39" i="37"/>
  <c r="Y39" i="37" s="1"/>
  <c r="Q54" i="37"/>
  <c r="R54" i="37" s="1"/>
  <c r="P61" i="37"/>
  <c r="Q64" i="38"/>
  <c r="R64" i="38" s="1"/>
  <c r="R26" i="39"/>
  <c r="Z26" i="39" s="1"/>
  <c r="F29" i="39"/>
  <c r="Z29" i="39" s="1"/>
  <c r="X75" i="39"/>
  <c r="I15" i="40"/>
  <c r="J15" i="40" s="1"/>
  <c r="M75" i="40"/>
  <c r="N75" i="40" s="1"/>
  <c r="J95" i="38"/>
  <c r="R63" i="39"/>
  <c r="Z63" i="39" s="1"/>
  <c r="Y45" i="37"/>
  <c r="Q14" i="38"/>
  <c r="R14" i="38" s="1"/>
  <c r="N56" i="38"/>
  <c r="X71" i="38"/>
  <c r="F12" i="39"/>
  <c r="Z12" i="37"/>
  <c r="I26" i="37"/>
  <c r="J26" i="37" s="1"/>
  <c r="Q56" i="38"/>
  <c r="R56" i="38" s="1"/>
  <c r="X65" i="39"/>
  <c r="P75" i="40"/>
  <c r="P77" i="40" s="1"/>
  <c r="R95" i="38"/>
  <c r="R108" i="39" s="1"/>
  <c r="F44" i="38"/>
  <c r="V71" i="38"/>
  <c r="V65" i="39"/>
  <c r="D82" i="39"/>
  <c r="F61" i="40"/>
  <c r="Y28" i="38"/>
  <c r="V52" i="39"/>
  <c r="M41" i="37"/>
  <c r="Z25" i="37"/>
  <c r="Y25" i="37"/>
  <c r="E75" i="39"/>
  <c r="F75" i="39" s="1"/>
  <c r="U41" i="37"/>
  <c r="U47" i="37" s="1"/>
  <c r="Z22" i="37"/>
  <c r="J24" i="37"/>
  <c r="Z24" i="37" s="1"/>
  <c r="F26" i="37"/>
  <c r="F19" i="38"/>
  <c r="X39" i="38"/>
  <c r="U52" i="38"/>
  <c r="U58" i="38" s="1"/>
  <c r="N50" i="38"/>
  <c r="L73" i="38"/>
  <c r="H82" i="39"/>
  <c r="N80" i="39"/>
  <c r="Q62" i="40"/>
  <c r="R62" i="40" s="1"/>
  <c r="L41" i="37"/>
  <c r="Q29" i="38"/>
  <c r="R29" i="38" s="1"/>
  <c r="V20" i="40"/>
  <c r="Y35" i="37"/>
  <c r="Q12" i="38"/>
  <c r="Y12" i="38" s="1"/>
  <c r="X19" i="37"/>
  <c r="Z11" i="37"/>
  <c r="X15" i="37"/>
  <c r="Q26" i="37"/>
  <c r="R26" i="37" s="1"/>
  <c r="J45" i="37"/>
  <c r="Z58" i="37"/>
  <c r="X29" i="38"/>
  <c r="Q71" i="38"/>
  <c r="R71" i="38" s="1"/>
  <c r="R52" i="39"/>
  <c r="U58" i="39"/>
  <c r="U60" i="39" s="1"/>
  <c r="U67" i="39" s="1"/>
  <c r="Y64" i="39"/>
  <c r="V80" i="39"/>
  <c r="R44" i="40"/>
  <c r="N44" i="40"/>
  <c r="X53" i="40"/>
  <c r="T77" i="40"/>
  <c r="F58" i="39"/>
  <c r="N111" i="39"/>
  <c r="N104" i="40"/>
  <c r="N107" i="40" s="1"/>
  <c r="Q14" i="40"/>
  <c r="R14" i="40" s="1"/>
  <c r="F14" i="40"/>
  <c r="T46" i="40"/>
  <c r="T55" i="40" s="1"/>
  <c r="V37" i="40"/>
  <c r="Y44" i="40"/>
  <c r="F44" i="40"/>
  <c r="U46" i="40"/>
  <c r="U55" i="40" s="1"/>
  <c r="V15" i="40"/>
  <c r="Y37" i="40"/>
  <c r="J53" i="40"/>
  <c r="V44" i="40"/>
  <c r="U77" i="40"/>
  <c r="F62" i="40"/>
  <c r="N12" i="40"/>
  <c r="M15" i="40"/>
  <c r="X63" i="40"/>
  <c r="F11" i="40"/>
  <c r="Q12" i="40"/>
  <c r="R12" i="40" s="1"/>
  <c r="R26" i="40"/>
  <c r="Z26" i="40" s="1"/>
  <c r="Y52" i="40"/>
  <c r="Q53" i="40"/>
  <c r="R53" i="40" s="1"/>
  <c r="Q61" i="40"/>
  <c r="Y61" i="40" s="1"/>
  <c r="Y69" i="40"/>
  <c r="I71" i="40"/>
  <c r="Y71" i="40" s="1"/>
  <c r="J72" i="40"/>
  <c r="Z72" i="40" s="1"/>
  <c r="D77" i="40"/>
  <c r="P20" i="40"/>
  <c r="X20" i="40" s="1"/>
  <c r="X26" i="40"/>
  <c r="F35" i="40"/>
  <c r="Z35" i="40" s="1"/>
  <c r="R49" i="40"/>
  <c r="Z49" i="40" s="1"/>
  <c r="H75" i="40"/>
  <c r="N61" i="40"/>
  <c r="M63" i="40"/>
  <c r="N63" i="40" s="1"/>
  <c r="Q10" i="40"/>
  <c r="N52" i="40"/>
  <c r="Z52" i="40" s="1"/>
  <c r="X15" i="40"/>
  <c r="J10" i="40"/>
  <c r="X31" i="39"/>
  <c r="Q74" i="39"/>
  <c r="R74" i="39" s="1"/>
  <c r="M75" i="39"/>
  <c r="N74" i="39"/>
  <c r="T60" i="39"/>
  <c r="T67" i="39" s="1"/>
  <c r="V15" i="39"/>
  <c r="F52" i="39"/>
  <c r="Q10" i="39"/>
  <c r="E15" i="39"/>
  <c r="F10" i="39"/>
  <c r="R11" i="39"/>
  <c r="M15" i="39"/>
  <c r="N15" i="39" s="1"/>
  <c r="P20" i="39"/>
  <c r="X20" i="39" s="1"/>
  <c r="X58" i="39"/>
  <c r="X15" i="39"/>
  <c r="Y52" i="39"/>
  <c r="F80" i="39"/>
  <c r="I15" i="39"/>
  <c r="J15" i="39" s="1"/>
  <c r="I31" i="39"/>
  <c r="Y23" i="39"/>
  <c r="J23" i="39"/>
  <c r="Z23" i="39" s="1"/>
  <c r="Z64" i="39"/>
  <c r="P82" i="39"/>
  <c r="Q79" i="39"/>
  <c r="R79" i="39" s="1"/>
  <c r="F50" i="39"/>
  <c r="Z50" i="39" s="1"/>
  <c r="X55" i="39"/>
  <c r="N58" i="39"/>
  <c r="Y28" i="39"/>
  <c r="J73" i="39"/>
  <c r="X79" i="39"/>
  <c r="F11" i="39"/>
  <c r="Y25" i="39"/>
  <c r="J27" i="39"/>
  <c r="Z27" i="39" s="1"/>
  <c r="J39" i="39"/>
  <c r="Z39" i="39" s="1"/>
  <c r="F74" i="39"/>
  <c r="V75" i="39"/>
  <c r="Y78" i="39"/>
  <c r="Q31" i="39"/>
  <c r="R31" i="39" s="1"/>
  <c r="V55" i="39"/>
  <c r="F73" i="39"/>
  <c r="F14" i="39"/>
  <c r="X48" i="39"/>
  <c r="F30" i="39"/>
  <c r="Z30" i="39" s="1"/>
  <c r="X50" i="39"/>
  <c r="X39" i="39"/>
  <c r="N25" i="39"/>
  <c r="Z25" i="39" s="1"/>
  <c r="Q55" i="39"/>
  <c r="Y19" i="38"/>
  <c r="Y47" i="38"/>
  <c r="Q50" i="38"/>
  <c r="R50" i="38" s="1"/>
  <c r="R47" i="38"/>
  <c r="J44" i="38"/>
  <c r="M73" i="38"/>
  <c r="I73" i="38"/>
  <c r="J66" i="38"/>
  <c r="R12" i="38"/>
  <c r="N71" i="38"/>
  <c r="I15" i="38"/>
  <c r="V33" i="38"/>
  <c r="Z33" i="38" s="1"/>
  <c r="N70" i="38"/>
  <c r="Z70" i="38" s="1"/>
  <c r="F71" i="38"/>
  <c r="N10" i="38"/>
  <c r="J12" i="38"/>
  <c r="J19" i="38"/>
  <c r="J24" i="38"/>
  <c r="Z24" i="38" s="1"/>
  <c r="N29" i="38"/>
  <c r="X33" i="38"/>
  <c r="V47" i="38"/>
  <c r="R55" i="38"/>
  <c r="F66" i="38"/>
  <c r="P73" i="38"/>
  <c r="Q10" i="38"/>
  <c r="F14" i="38"/>
  <c r="V15" i="38"/>
  <c r="Y18" i="38"/>
  <c r="Y27" i="38"/>
  <c r="Y44" i="38"/>
  <c r="X47" i="38"/>
  <c r="J56" i="38"/>
  <c r="F64" i="38"/>
  <c r="Q65" i="38"/>
  <c r="R65" i="38" s="1"/>
  <c r="R69" i="38"/>
  <c r="Z69" i="38" s="1"/>
  <c r="D73" i="38"/>
  <c r="J23" i="38"/>
  <c r="Z23" i="38" s="1"/>
  <c r="R35" i="38"/>
  <c r="Z35" i="38" s="1"/>
  <c r="T50" i="38"/>
  <c r="J64" i="38"/>
  <c r="Y70" i="38"/>
  <c r="T73" i="38"/>
  <c r="V73" i="38" s="1"/>
  <c r="X15" i="38"/>
  <c r="P44" i="38"/>
  <c r="X44" i="38" s="1"/>
  <c r="E15" i="38"/>
  <c r="F15" i="38" s="1"/>
  <c r="I29" i="38"/>
  <c r="J34" i="38"/>
  <c r="Z34" i="38" s="1"/>
  <c r="F65" i="38"/>
  <c r="N64" i="38"/>
  <c r="J15" i="37"/>
  <c r="R35" i="37"/>
  <c r="P41" i="37"/>
  <c r="P47" i="37" s="1"/>
  <c r="T39" i="37"/>
  <c r="V39" i="37" s="1"/>
  <c r="N45" i="37"/>
  <c r="T61" i="37"/>
  <c r="R23" i="37"/>
  <c r="Z23" i="37" s="1"/>
  <c r="N53" i="37"/>
  <c r="X55" i="37"/>
  <c r="X59" i="37"/>
  <c r="Q14" i="37"/>
  <c r="R14" i="37" s="1"/>
  <c r="R18" i="37"/>
  <c r="Z18" i="37" s="1"/>
  <c r="J33" i="37"/>
  <c r="Z33" i="37" s="1"/>
  <c r="X38" i="37"/>
  <c r="Q53" i="37"/>
  <c r="Y53" i="37" s="1"/>
  <c r="I55" i="37"/>
  <c r="N10" i="37"/>
  <c r="X26" i="37"/>
  <c r="Q10" i="37"/>
  <c r="Y10" i="37" s="1"/>
  <c r="X34" i="37"/>
  <c r="E55" i="37"/>
  <c r="R34" i="37"/>
  <c r="Z34" i="37" s="1"/>
  <c r="F54" i="37"/>
  <c r="Q59" i="37"/>
  <c r="R59" i="37" s="1"/>
  <c r="N15" i="37"/>
  <c r="Q19" i="37"/>
  <c r="Y19" i="37" s="1"/>
  <c r="F14" i="37"/>
  <c r="F53" i="37"/>
  <c r="Y51" i="31"/>
  <c r="X51" i="31"/>
  <c r="R51" i="31"/>
  <c r="J51" i="31"/>
  <c r="Y43" i="31"/>
  <c r="X43" i="31"/>
  <c r="J43" i="31"/>
  <c r="Y40" i="31"/>
  <c r="X40" i="31"/>
  <c r="R40" i="31"/>
  <c r="J40" i="31"/>
  <c r="Y39" i="31"/>
  <c r="X39" i="31"/>
  <c r="J39" i="31"/>
  <c r="Y38" i="31"/>
  <c r="L38" i="31"/>
  <c r="P38" i="31" s="1"/>
  <c r="X19" i="31"/>
  <c r="E19" i="31"/>
  <c r="Y19" i="31" s="1"/>
  <c r="P18" i="31"/>
  <c r="P21" i="31" s="1"/>
  <c r="L18" i="31"/>
  <c r="M18" i="31" s="1"/>
  <c r="P75" i="30"/>
  <c r="X75" i="30" s="1"/>
  <c r="M75" i="30"/>
  <c r="X58" i="30"/>
  <c r="M58" i="30"/>
  <c r="Y58" i="30" s="1"/>
  <c r="X50" i="30"/>
  <c r="I50" i="30"/>
  <c r="Y50" i="30" s="1"/>
  <c r="X49" i="30"/>
  <c r="Q49" i="30"/>
  <c r="Y49" i="30" s="1"/>
  <c r="Y31" i="30"/>
  <c r="L31" i="30"/>
  <c r="X24" i="30"/>
  <c r="I24" i="30"/>
  <c r="Y24" i="30" s="1"/>
  <c r="X25" i="30"/>
  <c r="E25" i="30"/>
  <c r="F25" i="30" s="1"/>
  <c r="Z25" i="30" s="1"/>
  <c r="X21" i="30"/>
  <c r="I21" i="30"/>
  <c r="Y21" i="30" s="1"/>
  <c r="P20" i="30"/>
  <c r="L20" i="30"/>
  <c r="X75" i="29"/>
  <c r="I75" i="29"/>
  <c r="Y75" i="29" s="1"/>
  <c r="X76" i="29"/>
  <c r="E76" i="29"/>
  <c r="Y76" i="29" s="1"/>
  <c r="P71" i="29"/>
  <c r="X71" i="29" s="1"/>
  <c r="M71" i="29"/>
  <c r="P81" i="28"/>
  <c r="Q81" i="28" s="1"/>
  <c r="M81" i="28"/>
  <c r="N81" i="28" s="1"/>
  <c r="E50" i="28"/>
  <c r="Y35" i="25"/>
  <c r="P35" i="25"/>
  <c r="R35" i="25" s="1"/>
  <c r="P65" i="23"/>
  <c r="Q65" i="23" s="1"/>
  <c r="M65" i="23"/>
  <c r="N65" i="23" s="1"/>
  <c r="P38" i="23"/>
  <c r="X38" i="23" s="1"/>
  <c r="I38" i="23"/>
  <c r="J38" i="23" s="1"/>
  <c r="Y28" i="23"/>
  <c r="P28" i="23"/>
  <c r="X28" i="23" s="1"/>
  <c r="N28" i="23"/>
  <c r="P20" i="23"/>
  <c r="Q20" i="23" s="1"/>
  <c r="M20" i="23"/>
  <c r="N20" i="23" s="1"/>
  <c r="X77" i="22"/>
  <c r="E77" i="22"/>
  <c r="Y77" i="22" s="1"/>
  <c r="P76" i="22"/>
  <c r="Q76" i="22" s="1"/>
  <c r="M76" i="22"/>
  <c r="N76" i="22" s="1"/>
  <c r="X50" i="22"/>
  <c r="Q50" i="22"/>
  <c r="Y50" i="22" s="1"/>
  <c r="X51" i="22"/>
  <c r="Q51" i="22"/>
  <c r="Y51" i="22" s="1"/>
  <c r="Y38" i="22"/>
  <c r="X38" i="22"/>
  <c r="R38" i="22"/>
  <c r="Y39" i="22"/>
  <c r="X39" i="22"/>
  <c r="F39" i="22"/>
  <c r="Y41" i="22"/>
  <c r="X41" i="22"/>
  <c r="R41" i="22"/>
  <c r="J41" i="22"/>
  <c r="Y37" i="22"/>
  <c r="P37" i="22"/>
  <c r="X37" i="22" s="1"/>
  <c r="N37" i="22"/>
  <c r="P20" i="22"/>
  <c r="L20" i="22"/>
  <c r="P73" i="15"/>
  <c r="Q73" i="15" s="1"/>
  <c r="M73" i="15"/>
  <c r="N73" i="15" s="1"/>
  <c r="X48" i="15"/>
  <c r="Q48" i="15"/>
  <c r="Y48" i="15" s="1"/>
  <c r="X45" i="15"/>
  <c r="I45" i="15"/>
  <c r="Y45" i="15" s="1"/>
  <c r="X44" i="15"/>
  <c r="Q44" i="15"/>
  <c r="Y44" i="15" s="1"/>
  <c r="Y32" i="15"/>
  <c r="X32" i="15"/>
  <c r="R32" i="15"/>
  <c r="Y30" i="15"/>
  <c r="X30" i="15"/>
  <c r="R30" i="15"/>
  <c r="Y29" i="15"/>
  <c r="P29" i="15"/>
  <c r="X29" i="15" s="1"/>
  <c r="N29" i="15"/>
  <c r="P19" i="15"/>
  <c r="L19" i="15"/>
  <c r="X74" i="11"/>
  <c r="Q74" i="11"/>
  <c r="M74" i="11"/>
  <c r="N74" i="11" s="1"/>
  <c r="X48" i="11"/>
  <c r="Q48" i="11"/>
  <c r="Y48" i="11" s="1"/>
  <c r="Y32" i="11"/>
  <c r="X32" i="11"/>
  <c r="R32" i="11"/>
  <c r="Y35" i="11"/>
  <c r="X35" i="11"/>
  <c r="F35" i="11"/>
  <c r="Y34" i="11"/>
  <c r="X34" i="11"/>
  <c r="R34" i="11"/>
  <c r="P64" i="9"/>
  <c r="X64" i="9" s="1"/>
  <c r="M64" i="9"/>
  <c r="N64" i="9" s="1"/>
  <c r="X56" i="9"/>
  <c r="I56" i="9"/>
  <c r="J56" i="9" s="1"/>
  <c r="Z56" i="9" s="1"/>
  <c r="X53" i="9"/>
  <c r="M53" i="9"/>
  <c r="Y53" i="9" s="1"/>
  <c r="X51" i="9"/>
  <c r="Q51" i="9"/>
  <c r="R51" i="9" s="1"/>
  <c r="Z51" i="9" s="1"/>
  <c r="X52" i="9"/>
  <c r="I52" i="9"/>
  <c r="Y52" i="9" s="1"/>
  <c r="X55" i="9"/>
  <c r="E55" i="9"/>
  <c r="Y55" i="9" s="1"/>
  <c r="X50" i="9"/>
  <c r="V50" i="9"/>
  <c r="Q50" i="9"/>
  <c r="Y50" i="9" s="1"/>
  <c r="X49" i="9"/>
  <c r="V49" i="9"/>
  <c r="Q49" i="9"/>
  <c r="Y49" i="9" s="1"/>
  <c r="Y36" i="9"/>
  <c r="X36" i="9"/>
  <c r="J36" i="9"/>
  <c r="Z36" i="9" s="1"/>
  <c r="Y37" i="9"/>
  <c r="X37" i="9"/>
  <c r="F37" i="9"/>
  <c r="Z37" i="9" s="1"/>
  <c r="Y35" i="9"/>
  <c r="X35" i="9"/>
  <c r="R35" i="9"/>
  <c r="Z35" i="9" s="1"/>
  <c r="Y34" i="9"/>
  <c r="X34" i="9"/>
  <c r="J34" i="9"/>
  <c r="Z34" i="9" s="1"/>
  <c r="P19" i="9"/>
  <c r="X19" i="9" s="1"/>
  <c r="M19" i="9"/>
  <c r="N19" i="9" s="1"/>
  <c r="V61" i="37" l="1"/>
  <c r="J73" i="38"/>
  <c r="L47" i="37"/>
  <c r="L7" i="38" s="1"/>
  <c r="F15" i="37"/>
  <c r="X20" i="30"/>
  <c r="Z43" i="31"/>
  <c r="M47" i="37"/>
  <c r="Z59" i="37"/>
  <c r="X39" i="37"/>
  <c r="I50" i="38"/>
  <c r="J111" i="39"/>
  <c r="X61" i="37"/>
  <c r="E47" i="37"/>
  <c r="E7" i="38" s="1"/>
  <c r="J71" i="40"/>
  <c r="Z71" i="40" s="1"/>
  <c r="H47" i="37"/>
  <c r="H7" i="38" s="1"/>
  <c r="H52" i="38" s="1"/>
  <c r="J49" i="38"/>
  <c r="Z49" i="38" s="1"/>
  <c r="D47" i="37"/>
  <c r="D7" i="38" s="1"/>
  <c r="D52" i="38" s="1"/>
  <c r="D58" i="38" s="1"/>
  <c r="D7" i="39" s="1"/>
  <c r="Z39" i="37"/>
  <c r="R38" i="37"/>
  <c r="Z38" i="37" s="1"/>
  <c r="Z12" i="38"/>
  <c r="Z64" i="38"/>
  <c r="Y71" i="38"/>
  <c r="Y38" i="37"/>
  <c r="T41" i="37"/>
  <c r="J35" i="37"/>
  <c r="Z35" i="37" s="1"/>
  <c r="X35" i="37"/>
  <c r="Y62" i="40"/>
  <c r="F41" i="37"/>
  <c r="N41" i="37"/>
  <c r="Y14" i="37"/>
  <c r="M61" i="37"/>
  <c r="N61" i="37" s="1"/>
  <c r="J97" i="38"/>
  <c r="R104" i="40"/>
  <c r="R107" i="40" s="1"/>
  <c r="R111" i="39"/>
  <c r="Z62" i="40"/>
  <c r="V82" i="39"/>
  <c r="X52" i="39"/>
  <c r="X43" i="40"/>
  <c r="V77" i="40"/>
  <c r="Z14" i="40"/>
  <c r="Y19" i="40"/>
  <c r="Q20" i="40"/>
  <c r="R20" i="40" s="1"/>
  <c r="N20" i="40"/>
  <c r="J107" i="40"/>
  <c r="Y53" i="40"/>
  <c r="M77" i="40"/>
  <c r="N77" i="40" s="1"/>
  <c r="Z12" i="40"/>
  <c r="E77" i="40"/>
  <c r="F77" i="40" s="1"/>
  <c r="Y11" i="40"/>
  <c r="Z11" i="40"/>
  <c r="Z79" i="39"/>
  <c r="Y79" i="39"/>
  <c r="Y73" i="39"/>
  <c r="Y12" i="39"/>
  <c r="Z12" i="39"/>
  <c r="Y65" i="39"/>
  <c r="X82" i="39"/>
  <c r="Z54" i="37"/>
  <c r="Y26" i="37"/>
  <c r="Z14" i="37"/>
  <c r="Y54" i="37"/>
  <c r="Z26" i="37"/>
  <c r="E82" i="39"/>
  <c r="F82" i="39" s="1"/>
  <c r="J82" i="39"/>
  <c r="N65" i="39"/>
  <c r="Z65" i="39" s="1"/>
  <c r="V58" i="39"/>
  <c r="Z73" i="39"/>
  <c r="Z11" i="39"/>
  <c r="X73" i="15"/>
  <c r="Q75" i="40"/>
  <c r="R75" i="40" s="1"/>
  <c r="I41" i="37"/>
  <c r="R96" i="38"/>
  <c r="Z35" i="11"/>
  <c r="Y74" i="11"/>
  <c r="Z39" i="22"/>
  <c r="Z28" i="23"/>
  <c r="Z51" i="31"/>
  <c r="Y14" i="39"/>
  <c r="Z52" i="39"/>
  <c r="Z43" i="40"/>
  <c r="Z45" i="37"/>
  <c r="Z14" i="38"/>
  <c r="J75" i="39"/>
  <c r="Z56" i="38"/>
  <c r="Z19" i="38"/>
  <c r="X44" i="40"/>
  <c r="Y64" i="38"/>
  <c r="Y56" i="38"/>
  <c r="R19" i="37"/>
  <c r="Z19" i="37" s="1"/>
  <c r="Z55" i="38"/>
  <c r="N73" i="38"/>
  <c r="Z53" i="40"/>
  <c r="Z34" i="11"/>
  <c r="Z32" i="15"/>
  <c r="Y29" i="38"/>
  <c r="Z14" i="39"/>
  <c r="Y14" i="40"/>
  <c r="Y14" i="38"/>
  <c r="V55" i="40"/>
  <c r="V46" i="40"/>
  <c r="Z44" i="40"/>
  <c r="X75" i="40"/>
  <c r="R10" i="40"/>
  <c r="Z10" i="40" s="1"/>
  <c r="Q15" i="40"/>
  <c r="Y10" i="40"/>
  <c r="F37" i="40"/>
  <c r="Z37" i="40" s="1"/>
  <c r="X37" i="40"/>
  <c r="I75" i="40"/>
  <c r="J75" i="40" s="1"/>
  <c r="N15" i="40"/>
  <c r="Q63" i="40"/>
  <c r="R61" i="40"/>
  <c r="Z61" i="40" s="1"/>
  <c r="H77" i="40"/>
  <c r="X77" i="40" s="1"/>
  <c r="Y12" i="40"/>
  <c r="Y55" i="39"/>
  <c r="Q58" i="39"/>
  <c r="R55" i="39"/>
  <c r="Z55" i="39" s="1"/>
  <c r="F15" i="39"/>
  <c r="Q15" i="39"/>
  <c r="Y15" i="39" s="1"/>
  <c r="R10" i="39"/>
  <c r="Z10" i="39" s="1"/>
  <c r="Z74" i="39"/>
  <c r="Q80" i="39"/>
  <c r="Y31" i="39"/>
  <c r="V60" i="39"/>
  <c r="V67" i="39"/>
  <c r="Y74" i="39"/>
  <c r="J31" i="39"/>
  <c r="Z31" i="39" s="1"/>
  <c r="Q20" i="39"/>
  <c r="Y20" i="39" s="1"/>
  <c r="Y10" i="39"/>
  <c r="Y11" i="39"/>
  <c r="N75" i="39"/>
  <c r="M82" i="39"/>
  <c r="N82" i="39" s="1"/>
  <c r="Q75" i="39"/>
  <c r="Y75" i="39" s="1"/>
  <c r="J29" i="38"/>
  <c r="Z29" i="38" s="1"/>
  <c r="Y50" i="38"/>
  <c r="Q66" i="38"/>
  <c r="Y65" i="38"/>
  <c r="X73" i="38"/>
  <c r="F73" i="38"/>
  <c r="Z65" i="38"/>
  <c r="Q15" i="38"/>
  <c r="Y15" i="38" s="1"/>
  <c r="R10" i="38"/>
  <c r="Z10" i="38" s="1"/>
  <c r="V50" i="38"/>
  <c r="Z50" i="38" s="1"/>
  <c r="X50" i="38"/>
  <c r="Y10" i="38"/>
  <c r="J15" i="38"/>
  <c r="T52" i="38"/>
  <c r="T58" i="38" s="1"/>
  <c r="R44" i="38"/>
  <c r="Z44" i="38" s="1"/>
  <c r="Z71" i="38"/>
  <c r="Z47" i="38"/>
  <c r="Y59" i="37"/>
  <c r="I61" i="37"/>
  <c r="J61" i="37" s="1"/>
  <c r="J55" i="37"/>
  <c r="P7" i="38"/>
  <c r="E61" i="37"/>
  <c r="F55" i="37"/>
  <c r="Q55" i="37"/>
  <c r="R53" i="37"/>
  <c r="Z53" i="37" s="1"/>
  <c r="Q15" i="37"/>
  <c r="R10" i="37"/>
  <c r="Z10" i="37" s="1"/>
  <c r="Z40" i="31"/>
  <c r="Z39" i="31"/>
  <c r="N38" i="31"/>
  <c r="X18" i="31"/>
  <c r="F19" i="31"/>
  <c r="Z19" i="31" s="1"/>
  <c r="N18" i="31"/>
  <c r="Q18" i="31"/>
  <c r="Y18" i="31" s="1"/>
  <c r="Q75" i="30"/>
  <c r="Y75" i="30" s="1"/>
  <c r="N75" i="30"/>
  <c r="N58" i="30"/>
  <c r="Z58" i="30"/>
  <c r="Z50" i="30"/>
  <c r="J50" i="30"/>
  <c r="Z49" i="30"/>
  <c r="R49" i="30"/>
  <c r="N31" i="30"/>
  <c r="P31" i="30"/>
  <c r="R31" i="30" s="1"/>
  <c r="J24" i="30"/>
  <c r="Z24" i="30" s="1"/>
  <c r="Y25" i="30"/>
  <c r="J21" i="30"/>
  <c r="Z21" i="30" s="1"/>
  <c r="M20" i="30"/>
  <c r="Q20" i="30"/>
  <c r="R20" i="30" s="1"/>
  <c r="J75" i="29"/>
  <c r="Z75" i="29" s="1"/>
  <c r="F76" i="29"/>
  <c r="Z76" i="29" s="1"/>
  <c r="N71" i="29"/>
  <c r="Q71" i="29"/>
  <c r="Y71" i="29" s="1"/>
  <c r="X81" i="28"/>
  <c r="Y81" i="28"/>
  <c r="R81" i="28"/>
  <c r="Z81" i="28" s="1"/>
  <c r="X35" i="25"/>
  <c r="Z35" i="25" s="1"/>
  <c r="X65" i="23"/>
  <c r="Y65" i="23"/>
  <c r="R65" i="23"/>
  <c r="Z65" i="23" s="1"/>
  <c r="Q38" i="23"/>
  <c r="R38" i="23" s="1"/>
  <c r="R28" i="23"/>
  <c r="X20" i="23"/>
  <c r="Y20" i="23"/>
  <c r="R20" i="23"/>
  <c r="Z20" i="23" s="1"/>
  <c r="F77" i="22"/>
  <c r="Z77" i="22" s="1"/>
  <c r="Z37" i="22"/>
  <c r="Z38" i="22"/>
  <c r="X76" i="22"/>
  <c r="Y76" i="22"/>
  <c r="R76" i="22"/>
  <c r="Z76" i="22" s="1"/>
  <c r="R50" i="22"/>
  <c r="Z50" i="22"/>
  <c r="Z51" i="22"/>
  <c r="R51" i="22"/>
  <c r="X20" i="22"/>
  <c r="Z41" i="22"/>
  <c r="R37" i="22"/>
  <c r="M20" i="22"/>
  <c r="N20" i="22" s="1"/>
  <c r="Q20" i="22"/>
  <c r="R20" i="22" s="1"/>
  <c r="Y73" i="15"/>
  <c r="R73" i="15"/>
  <c r="Z73" i="15" s="1"/>
  <c r="R48" i="15"/>
  <c r="Z48" i="15"/>
  <c r="Z30" i="15"/>
  <c r="Z45" i="15"/>
  <c r="J45" i="15"/>
  <c r="Z44" i="15"/>
  <c r="R44" i="15"/>
  <c r="X19" i="15"/>
  <c r="Z29" i="15"/>
  <c r="R29" i="15"/>
  <c r="M19" i="15"/>
  <c r="Q19" i="15"/>
  <c r="R19" i="15" s="1"/>
  <c r="R74" i="11"/>
  <c r="Z74" i="11" s="1"/>
  <c r="Z48" i="11"/>
  <c r="R48" i="11"/>
  <c r="Z32" i="11"/>
  <c r="Q64" i="9"/>
  <c r="Y64" i="9" s="1"/>
  <c r="Y56" i="9"/>
  <c r="N53" i="9"/>
  <c r="Z53" i="9" s="1"/>
  <c r="Y51" i="9"/>
  <c r="J52" i="9"/>
  <c r="Z52" i="9" s="1"/>
  <c r="F55" i="9"/>
  <c r="Z55" i="9" s="1"/>
  <c r="R50" i="9"/>
  <c r="Z50" i="9" s="1"/>
  <c r="R49" i="9"/>
  <c r="Z49" i="9" s="1"/>
  <c r="Q19" i="9"/>
  <c r="Y19" i="9" s="1"/>
  <c r="N47" i="37" l="1"/>
  <c r="R64" i="9"/>
  <c r="Z64" i="9" s="1"/>
  <c r="R38" i="31"/>
  <c r="F47" i="37"/>
  <c r="E52" i="38"/>
  <c r="E58" i="38" s="1"/>
  <c r="E7" i="39" s="1"/>
  <c r="E60" i="39" s="1"/>
  <c r="F7" i="38"/>
  <c r="L52" i="38"/>
  <c r="M7" i="38"/>
  <c r="M52" i="38" s="1"/>
  <c r="M58" i="38" s="1"/>
  <c r="M7" i="39" s="1"/>
  <c r="M60" i="39" s="1"/>
  <c r="M67" i="39" s="1"/>
  <c r="M7" i="40" s="1"/>
  <c r="X41" i="37"/>
  <c r="T47" i="37"/>
  <c r="V47" i="37" s="1"/>
  <c r="V41" i="37"/>
  <c r="J41" i="37"/>
  <c r="I47" i="37"/>
  <c r="I7" i="38" s="1"/>
  <c r="Y38" i="23"/>
  <c r="Z38" i="23" s="1"/>
  <c r="R71" i="29"/>
  <c r="Z71" i="29" s="1"/>
  <c r="H58" i="38"/>
  <c r="H7" i="39" s="1"/>
  <c r="H60" i="39" s="1"/>
  <c r="H67" i="39" s="1"/>
  <c r="P52" i="38"/>
  <c r="P58" i="38" s="1"/>
  <c r="P7" i="39" s="1"/>
  <c r="X7" i="38"/>
  <c r="Z75" i="40"/>
  <c r="D60" i="39"/>
  <c r="Z20" i="40"/>
  <c r="Y20" i="40"/>
  <c r="R15" i="40"/>
  <c r="Y15" i="40"/>
  <c r="Y75" i="40"/>
  <c r="I77" i="40"/>
  <c r="R63" i="40"/>
  <c r="Z63" i="40" s="1"/>
  <c r="Q77" i="40"/>
  <c r="R77" i="40" s="1"/>
  <c r="Y63" i="40"/>
  <c r="R15" i="39"/>
  <c r="Q82" i="39"/>
  <c r="R82" i="39" s="1"/>
  <c r="Z82" i="39" s="1"/>
  <c r="R75" i="39"/>
  <c r="Z75" i="39" s="1"/>
  <c r="Y58" i="39"/>
  <c r="R58" i="39"/>
  <c r="Z58" i="39" s="1"/>
  <c r="Y80" i="39"/>
  <c r="R80" i="39"/>
  <c r="Z80" i="39" s="1"/>
  <c r="R20" i="39"/>
  <c r="Z20" i="39" s="1"/>
  <c r="Q73" i="38"/>
  <c r="Y66" i="38"/>
  <c r="R66" i="38"/>
  <c r="Z66" i="38" s="1"/>
  <c r="V52" i="38"/>
  <c r="V58" i="38" s="1"/>
  <c r="R15" i="38"/>
  <c r="Z15" i="38" s="1"/>
  <c r="Q41" i="37"/>
  <c r="Q47" i="37" s="1"/>
  <c r="R15" i="37"/>
  <c r="Z15" i="37" s="1"/>
  <c r="Y15" i="37"/>
  <c r="R55" i="37"/>
  <c r="Z55" i="37" s="1"/>
  <c r="Q61" i="37"/>
  <c r="R61" i="37" s="1"/>
  <c r="Y55" i="37"/>
  <c r="F61" i="37"/>
  <c r="X38" i="31"/>
  <c r="Z38" i="31" s="1"/>
  <c r="R18" i="31"/>
  <c r="Z18" i="31" s="1"/>
  <c r="R75" i="30"/>
  <c r="Z75" i="30" s="1"/>
  <c r="X31" i="30"/>
  <c r="Z31" i="30" s="1"/>
  <c r="Y20" i="30"/>
  <c r="N20" i="30"/>
  <c r="Z20" i="30" s="1"/>
  <c r="Z20" i="22"/>
  <c r="Y20" i="22"/>
  <c r="Y19" i="15"/>
  <c r="N19" i="15"/>
  <c r="Z19" i="15" s="1"/>
  <c r="R19" i="9"/>
  <c r="Z19" i="9" s="1"/>
  <c r="F52" i="38" l="1"/>
  <c r="N52" i="38"/>
  <c r="L58" i="38"/>
  <c r="X58" i="38" s="1"/>
  <c r="N7" i="38"/>
  <c r="X47" i="37"/>
  <c r="X52" i="38"/>
  <c r="M46" i="40"/>
  <c r="M55" i="40" s="1"/>
  <c r="M7" i="9" s="1"/>
  <c r="F60" i="39"/>
  <c r="E67" i="39"/>
  <c r="E7" i="40" s="1"/>
  <c r="D67" i="39"/>
  <c r="D7" i="40" s="1"/>
  <c r="J47" i="37"/>
  <c r="I52" i="38"/>
  <c r="I58" i="38" s="1"/>
  <c r="Z15" i="40"/>
  <c r="F7" i="39"/>
  <c r="P60" i="39"/>
  <c r="P67" i="39" s="1"/>
  <c r="Z15" i="39"/>
  <c r="J7" i="38"/>
  <c r="Y82" i="39"/>
  <c r="Y77" i="40"/>
  <c r="F58" i="38"/>
  <c r="H7" i="40"/>
  <c r="J77" i="40"/>
  <c r="Z77" i="40" s="1"/>
  <c r="Y73" i="38"/>
  <c r="R73" i="38"/>
  <c r="Z73" i="38" s="1"/>
  <c r="Z61" i="37"/>
  <c r="Y61" i="37"/>
  <c r="Q7" i="38"/>
  <c r="Y41" i="37"/>
  <c r="R41" i="37"/>
  <c r="Z41" i="37" s="1"/>
  <c r="Y43" i="22"/>
  <c r="X43" i="22"/>
  <c r="R43" i="22"/>
  <c r="N43" i="22"/>
  <c r="L7" i="39" l="1"/>
  <c r="N58" i="38"/>
  <c r="D46" i="40"/>
  <c r="E46" i="40"/>
  <c r="F67" i="39"/>
  <c r="R7" i="38"/>
  <c r="Z7" i="38" s="1"/>
  <c r="Q52" i="38"/>
  <c r="Y7" i="38"/>
  <c r="J52" i="38"/>
  <c r="F7" i="40"/>
  <c r="P7" i="40"/>
  <c r="H46" i="40"/>
  <c r="H55" i="40" s="1"/>
  <c r="Z43" i="22"/>
  <c r="R47" i="37"/>
  <c r="Z47" i="37" s="1"/>
  <c r="Y47" i="37"/>
  <c r="I27" i="25"/>
  <c r="I23" i="25"/>
  <c r="N7" i="39" l="1"/>
  <c r="X7" i="39"/>
  <c r="L60" i="39"/>
  <c r="E55" i="40"/>
  <c r="E7" i="9" s="1"/>
  <c r="D55" i="40"/>
  <c r="D7" i="9" s="1"/>
  <c r="F46" i="40"/>
  <c r="Y52" i="38"/>
  <c r="Q58" i="38"/>
  <c r="Y58" i="38" s="1"/>
  <c r="R52" i="38"/>
  <c r="Z52" i="38" s="1"/>
  <c r="I7" i="39"/>
  <c r="J58" i="38"/>
  <c r="P46" i="40"/>
  <c r="P55" i="40" s="1"/>
  <c r="H7" i="9"/>
  <c r="P53" i="31"/>
  <c r="N60" i="39" l="1"/>
  <c r="L67" i="39"/>
  <c r="X60" i="39"/>
  <c r="F55" i="40"/>
  <c r="Q7" i="39"/>
  <c r="Y7" i="39" s="1"/>
  <c r="R58" i="38"/>
  <c r="Z58" i="38" s="1"/>
  <c r="I60" i="39"/>
  <c r="I67" i="39" s="1"/>
  <c r="J7" i="39"/>
  <c r="P7" i="9"/>
  <c r="R96" i="29"/>
  <c r="N67" i="39" l="1"/>
  <c r="L7" i="40"/>
  <c r="X67" i="39"/>
  <c r="Q60" i="39"/>
  <c r="R7" i="39"/>
  <c r="Z7" i="39" s="1"/>
  <c r="J60" i="39"/>
  <c r="R96" i="30"/>
  <c r="N7" i="40" l="1"/>
  <c r="L46" i="40"/>
  <c r="X7" i="40"/>
  <c r="Y60" i="39"/>
  <c r="Q67" i="39"/>
  <c r="Y67" i="39" s="1"/>
  <c r="R60" i="39"/>
  <c r="Z60" i="39" s="1"/>
  <c r="I7" i="40"/>
  <c r="J67" i="39"/>
  <c r="M12" i="31"/>
  <c r="I12" i="31"/>
  <c r="E12" i="31"/>
  <c r="L55" i="40" l="1"/>
  <c r="X46" i="40"/>
  <c r="N46" i="40"/>
  <c r="Q7" i="40"/>
  <c r="R67" i="39"/>
  <c r="Z67" i="39" s="1"/>
  <c r="I46" i="40"/>
  <c r="I55" i="40" s="1"/>
  <c r="J7" i="40"/>
  <c r="Q12" i="31"/>
  <c r="X55" i="40" l="1"/>
  <c r="L7" i="9"/>
  <c r="N55" i="40"/>
  <c r="Y7" i="40"/>
  <c r="Q46" i="40"/>
  <c r="Q55" i="40" s="1"/>
  <c r="Q7" i="9" s="1"/>
  <c r="R7" i="40"/>
  <c r="I7" i="9"/>
  <c r="J46" i="40"/>
  <c r="Y65" i="31"/>
  <c r="X65" i="31"/>
  <c r="V65" i="31"/>
  <c r="R65" i="31"/>
  <c r="N65" i="31"/>
  <c r="J65" i="31"/>
  <c r="F65" i="31"/>
  <c r="Y52" i="31"/>
  <c r="X52" i="31"/>
  <c r="F52" i="31"/>
  <c r="Y50" i="31"/>
  <c r="X50" i="31"/>
  <c r="J50" i="31"/>
  <c r="Y49" i="31"/>
  <c r="X49" i="31"/>
  <c r="N49" i="31"/>
  <c r="Y48" i="31"/>
  <c r="X48" i="31"/>
  <c r="J48" i="31"/>
  <c r="R46" i="31"/>
  <c r="Y47" i="31"/>
  <c r="X47" i="31"/>
  <c r="J47" i="31"/>
  <c r="Y46" i="31"/>
  <c r="X46" i="31"/>
  <c r="N46" i="31"/>
  <c r="Q27" i="31"/>
  <c r="R27" i="31" s="1"/>
  <c r="Y45" i="31"/>
  <c r="X45" i="31"/>
  <c r="R45" i="31"/>
  <c r="Y41" i="31"/>
  <c r="X41" i="31"/>
  <c r="R41" i="31"/>
  <c r="Y42" i="31"/>
  <c r="X42" i="31"/>
  <c r="D53" i="31"/>
  <c r="X32" i="31"/>
  <c r="E32" i="31"/>
  <c r="F32" i="31" s="1"/>
  <c r="Z32" i="31" s="1"/>
  <c r="X31" i="31"/>
  <c r="I31" i="31"/>
  <c r="J31" i="31" s="1"/>
  <c r="Z31" i="31" s="1"/>
  <c r="X30" i="31"/>
  <c r="M30" i="31"/>
  <c r="N30" i="31" s="1"/>
  <c r="Z30" i="31" s="1"/>
  <c r="X29" i="31"/>
  <c r="I29" i="31"/>
  <c r="J29" i="31" s="1"/>
  <c r="Z29" i="31" s="1"/>
  <c r="X28" i="31"/>
  <c r="I28" i="31"/>
  <c r="J28" i="31" s="1"/>
  <c r="Z28" i="31" s="1"/>
  <c r="X27" i="31"/>
  <c r="M27" i="31"/>
  <c r="N27" i="31" s="1"/>
  <c r="X26" i="31"/>
  <c r="Q26" i="31"/>
  <c r="Y26" i="31" s="1"/>
  <c r="T25" i="31"/>
  <c r="X25" i="31" s="1"/>
  <c r="Z49" i="31" l="1"/>
  <c r="Y46" i="40"/>
  <c r="Z7" i="40"/>
  <c r="R46" i="40"/>
  <c r="Z46" i="40" s="1"/>
  <c r="J55" i="40"/>
  <c r="Z42" i="31"/>
  <c r="Z50" i="31"/>
  <c r="Z65" i="31"/>
  <c r="Z47" i="31"/>
  <c r="Z41" i="31"/>
  <c r="Z52" i="31"/>
  <c r="Y31" i="31"/>
  <c r="Y29" i="31"/>
  <c r="Z27" i="31"/>
  <c r="Y27" i="31"/>
  <c r="Z48" i="31"/>
  <c r="Z46" i="31"/>
  <c r="Z45" i="31"/>
  <c r="R26" i="31"/>
  <c r="Z26" i="31" s="1"/>
  <c r="R42" i="31"/>
  <c r="Y28" i="31"/>
  <c r="Y30" i="31"/>
  <c r="Y32" i="31"/>
  <c r="Q25" i="31"/>
  <c r="V25" i="31"/>
  <c r="Y55" i="40" l="1"/>
  <c r="R55" i="40"/>
  <c r="Z55" i="40" s="1"/>
  <c r="Y25" i="31"/>
  <c r="R25" i="31"/>
  <c r="Z25" i="31" s="1"/>
  <c r="T33" i="32"/>
  <c r="Q19" i="32"/>
  <c r="R19" i="32" s="1"/>
  <c r="U91" i="32"/>
  <c r="T91" i="32"/>
  <c r="P91" i="32"/>
  <c r="L91" i="32"/>
  <c r="H91" i="32"/>
  <c r="D91" i="32"/>
  <c r="X90" i="32"/>
  <c r="N90" i="32"/>
  <c r="J90" i="32"/>
  <c r="X89" i="32"/>
  <c r="N89" i="32"/>
  <c r="J89" i="32"/>
  <c r="X88" i="32"/>
  <c r="Y79" i="32"/>
  <c r="X79" i="32"/>
  <c r="N79" i="32"/>
  <c r="X69" i="32"/>
  <c r="Y69" i="32"/>
  <c r="X68" i="32"/>
  <c r="U68" i="32"/>
  <c r="U65" i="32"/>
  <c r="T65" i="32"/>
  <c r="Q65" i="32"/>
  <c r="M65" i="32"/>
  <c r="I65" i="32"/>
  <c r="E65" i="32"/>
  <c r="D65" i="32"/>
  <c r="Y41" i="32"/>
  <c r="X41" i="32"/>
  <c r="V41" i="32"/>
  <c r="Y40" i="32"/>
  <c r="X40" i="32"/>
  <c r="V40" i="32"/>
  <c r="U37" i="32"/>
  <c r="P37" i="32"/>
  <c r="M37" i="32"/>
  <c r="L37" i="32"/>
  <c r="I37" i="32"/>
  <c r="H37" i="32"/>
  <c r="E37" i="32"/>
  <c r="D37" i="32"/>
  <c r="T37" i="32"/>
  <c r="Y36" i="32"/>
  <c r="U15" i="32"/>
  <c r="T15" i="32"/>
  <c r="P15" i="32"/>
  <c r="L15" i="32"/>
  <c r="D15" i="32"/>
  <c r="X14" i="32"/>
  <c r="N14" i="32"/>
  <c r="J14" i="32"/>
  <c r="Y13" i="32"/>
  <c r="X13" i="32"/>
  <c r="R13" i="32"/>
  <c r="N13" i="32"/>
  <c r="J13" i="32"/>
  <c r="F13" i="32"/>
  <c r="X12" i="32"/>
  <c r="N12" i="32"/>
  <c r="F12" i="32"/>
  <c r="Y11" i="32"/>
  <c r="X11" i="32"/>
  <c r="R11" i="32"/>
  <c r="N11" i="32"/>
  <c r="J11" i="32"/>
  <c r="F11" i="32"/>
  <c r="X10" i="32"/>
  <c r="J10" i="32"/>
  <c r="Q73" i="32" l="1"/>
  <c r="R73" i="32" s="1"/>
  <c r="V68" i="32"/>
  <c r="U73" i="32"/>
  <c r="V73" i="32" s="1"/>
  <c r="Z79" i="32"/>
  <c r="V65" i="32"/>
  <c r="F73" i="32"/>
  <c r="F80" i="32"/>
  <c r="L107" i="32"/>
  <c r="F65" i="32"/>
  <c r="H107" i="32"/>
  <c r="R80" i="32"/>
  <c r="J80" i="32"/>
  <c r="M15" i="32"/>
  <c r="N15" i="32" s="1"/>
  <c r="T107" i="32"/>
  <c r="V33" i="32"/>
  <c r="X73" i="32"/>
  <c r="Y10" i="32"/>
  <c r="N37" i="32"/>
  <c r="Z41" i="32"/>
  <c r="J65" i="32"/>
  <c r="V91" i="32"/>
  <c r="V19" i="32"/>
  <c r="Z19" i="32" s="1"/>
  <c r="Y14" i="32"/>
  <c r="X19" i="32"/>
  <c r="P33" i="32"/>
  <c r="X33" i="32" s="1"/>
  <c r="F14" i="32"/>
  <c r="V15" i="32"/>
  <c r="R89" i="32"/>
  <c r="Y19" i="32"/>
  <c r="Q33" i="32"/>
  <c r="X91" i="32"/>
  <c r="Z13" i="32"/>
  <c r="F33" i="32"/>
  <c r="E91" i="32"/>
  <c r="F88" i="32"/>
  <c r="I91" i="32"/>
  <c r="J91" i="32" s="1"/>
  <c r="Y80" i="32"/>
  <c r="J88" i="32"/>
  <c r="J105" i="32"/>
  <c r="Z11" i="32"/>
  <c r="X36" i="32"/>
  <c r="J73" i="32"/>
  <c r="M91" i="32"/>
  <c r="N105" i="32"/>
  <c r="J37" i="32"/>
  <c r="X15" i="32"/>
  <c r="R88" i="32"/>
  <c r="J33" i="32"/>
  <c r="N73" i="32"/>
  <c r="V80" i="32"/>
  <c r="Z69" i="32"/>
  <c r="Y65" i="32"/>
  <c r="Z40" i="32"/>
  <c r="P65" i="32"/>
  <c r="R65" i="32" s="1"/>
  <c r="X37" i="32"/>
  <c r="V37" i="32"/>
  <c r="X80" i="32"/>
  <c r="F10" i="32"/>
  <c r="E15" i="32"/>
  <c r="Z36" i="32"/>
  <c r="F37" i="32"/>
  <c r="Q37" i="32"/>
  <c r="Y37" i="32" s="1"/>
  <c r="Y68" i="32"/>
  <c r="N80" i="32"/>
  <c r="F89" i="32"/>
  <c r="R90" i="32"/>
  <c r="F105" i="32"/>
  <c r="D107" i="32"/>
  <c r="L65" i="32"/>
  <c r="N65" i="32" s="1"/>
  <c r="N88" i="32"/>
  <c r="N10" i="32"/>
  <c r="J12" i="32"/>
  <c r="V69" i="32"/>
  <c r="U107" i="32"/>
  <c r="F90" i="32"/>
  <c r="M107" i="32" l="1"/>
  <c r="E112" i="32" s="1"/>
  <c r="E107" i="32"/>
  <c r="F107" i="32" s="1"/>
  <c r="F15" i="32"/>
  <c r="Y105" i="32"/>
  <c r="R14" i="32"/>
  <c r="Z14" i="32" s="1"/>
  <c r="Q15" i="32"/>
  <c r="R15" i="32" s="1"/>
  <c r="R10" i="32"/>
  <c r="Z10" i="32" s="1"/>
  <c r="E134" i="41" s="1"/>
  <c r="X105" i="32"/>
  <c r="Y73" i="32"/>
  <c r="Z73" i="32" s="1"/>
  <c r="R33" i="32"/>
  <c r="V107" i="32"/>
  <c r="V105" i="32"/>
  <c r="Z88" i="32"/>
  <c r="Y89" i="32"/>
  <c r="M33" i="32"/>
  <c r="R37" i="32"/>
  <c r="Z37" i="32" s="1"/>
  <c r="Z89" i="32"/>
  <c r="P107" i="32"/>
  <c r="X107" i="32" s="1"/>
  <c r="N91" i="32"/>
  <c r="Q91" i="32"/>
  <c r="I107" i="32"/>
  <c r="J107" i="32" s="1"/>
  <c r="F91" i="32"/>
  <c r="Y88" i="32"/>
  <c r="Z80" i="32"/>
  <c r="J15" i="32"/>
  <c r="Z68" i="32"/>
  <c r="Z90" i="32"/>
  <c r="E133" i="32" s="1"/>
  <c r="R12" i="32"/>
  <c r="Z12" i="32" s="1"/>
  <c r="Y12" i="32"/>
  <c r="X65" i="32"/>
  <c r="Z65" i="32" s="1"/>
  <c r="Y90" i="32"/>
  <c r="N107" i="32" l="1"/>
  <c r="E147" i="42"/>
  <c r="E131" i="32"/>
  <c r="E132" i="32"/>
  <c r="Y91" i="32"/>
  <c r="Q107" i="32"/>
  <c r="R105" i="32"/>
  <c r="Z105" i="32" s="1"/>
  <c r="Y15" i="32"/>
  <c r="Z15" i="32"/>
  <c r="N33" i="32"/>
  <c r="Z33" i="32" s="1"/>
  <c r="Y33" i="32"/>
  <c r="R91" i="32"/>
  <c r="Z91" i="32" s="1"/>
  <c r="R118" i="31"/>
  <c r="R107" i="32" l="1"/>
  <c r="Z107" i="32" s="1"/>
  <c r="Y107" i="32"/>
  <c r="P52" i="30"/>
  <c r="M52" i="30"/>
  <c r="L52" i="30"/>
  <c r="H52" i="30"/>
  <c r="H20" i="31" l="1"/>
  <c r="X20" i="31" s="1"/>
  <c r="U33" i="31"/>
  <c r="M33" i="31"/>
  <c r="L33" i="31"/>
  <c r="I33" i="31"/>
  <c r="H33" i="31"/>
  <c r="E33" i="31"/>
  <c r="D33" i="31"/>
  <c r="Q20" i="31"/>
  <c r="R20" i="31" s="1"/>
  <c r="D21" i="31"/>
  <c r="X24" i="31"/>
  <c r="V24" i="31"/>
  <c r="Q24" i="31"/>
  <c r="Y24" i="31" s="1"/>
  <c r="N118" i="31"/>
  <c r="E60" i="30"/>
  <c r="D60" i="30"/>
  <c r="H60" i="30"/>
  <c r="L60" i="30"/>
  <c r="X59" i="30"/>
  <c r="I59" i="30"/>
  <c r="J59" i="30" s="1"/>
  <c r="J121" i="31"/>
  <c r="X77" i="30"/>
  <c r="Q77" i="30"/>
  <c r="I77" i="30"/>
  <c r="J77" i="30" s="1"/>
  <c r="X76" i="30"/>
  <c r="E76" i="30"/>
  <c r="Y76" i="30" s="1"/>
  <c r="M69" i="30"/>
  <c r="I69" i="30"/>
  <c r="E69" i="30"/>
  <c r="D51" i="30"/>
  <c r="D52" i="30" s="1"/>
  <c r="L44" i="30"/>
  <c r="T48" i="30"/>
  <c r="V48" i="30" s="1"/>
  <c r="Q48" i="30"/>
  <c r="I14" i="30"/>
  <c r="E14" i="30"/>
  <c r="M14" i="30"/>
  <c r="M11" i="30"/>
  <c r="I11" i="30"/>
  <c r="E11" i="30"/>
  <c r="M10" i="30"/>
  <c r="I10" i="30"/>
  <c r="E10" i="30"/>
  <c r="Q11" i="30" l="1"/>
  <c r="Q69" i="30"/>
  <c r="Y59" i="30"/>
  <c r="E51" i="30"/>
  <c r="Y51" i="30" s="1"/>
  <c r="X51" i="30"/>
  <c r="F76" i="30"/>
  <c r="Z76" i="30" s="1"/>
  <c r="Q10" i="30"/>
  <c r="Y77" i="30"/>
  <c r="J33" i="31"/>
  <c r="Q14" i="30"/>
  <c r="M60" i="30"/>
  <c r="R48" i="30"/>
  <c r="I60" i="30"/>
  <c r="Z59" i="30"/>
  <c r="I52" i="30"/>
  <c r="N33" i="31"/>
  <c r="R77" i="30"/>
  <c r="Z77" i="30" s="1"/>
  <c r="I20" i="31"/>
  <c r="Y20" i="31" s="1"/>
  <c r="F33" i="31"/>
  <c r="T33" i="31"/>
  <c r="R24" i="31"/>
  <c r="Z24" i="31" s="1"/>
  <c r="M12" i="30"/>
  <c r="I12" i="30"/>
  <c r="E12" i="30"/>
  <c r="F51" i="30" l="1"/>
  <c r="Z51" i="30"/>
  <c r="Q12" i="30"/>
  <c r="J20" i="31"/>
  <c r="Z20" i="31" s="1"/>
  <c r="V33" i="31"/>
  <c r="X33" i="31"/>
  <c r="Q33" i="31"/>
  <c r="Y33" i="31" l="1"/>
  <c r="R33" i="31"/>
  <c r="Z33" i="31" s="1"/>
  <c r="R120" i="31" l="1"/>
  <c r="F118" i="31"/>
  <c r="U98" i="31"/>
  <c r="L98" i="31"/>
  <c r="I98" i="31"/>
  <c r="H98" i="31"/>
  <c r="E98" i="31"/>
  <c r="D98" i="31"/>
  <c r="U80" i="31"/>
  <c r="T80" i="31"/>
  <c r="P80" i="31"/>
  <c r="L80" i="31"/>
  <c r="H80" i="31"/>
  <c r="D80" i="31"/>
  <c r="X79" i="31"/>
  <c r="M79" i="31"/>
  <c r="N79" i="31" s="1"/>
  <c r="I79" i="31"/>
  <c r="J79" i="31" s="1"/>
  <c r="E79" i="31"/>
  <c r="X78" i="31"/>
  <c r="N78" i="31"/>
  <c r="J78" i="31"/>
  <c r="X77" i="31"/>
  <c r="M77" i="31"/>
  <c r="I77" i="31"/>
  <c r="J77" i="31" s="1"/>
  <c r="E77" i="31"/>
  <c r="Y68" i="31"/>
  <c r="X68" i="31"/>
  <c r="X58" i="31"/>
  <c r="Q58" i="31"/>
  <c r="X57" i="31"/>
  <c r="V57" i="31"/>
  <c r="X56" i="31"/>
  <c r="U56" i="31"/>
  <c r="U53" i="31"/>
  <c r="T53" i="31"/>
  <c r="Q53" i="31"/>
  <c r="M53" i="31"/>
  <c r="I53" i="31"/>
  <c r="H53" i="31"/>
  <c r="E53" i="31"/>
  <c r="Y37" i="31"/>
  <c r="X37" i="31"/>
  <c r="V37" i="31"/>
  <c r="Y36" i="31"/>
  <c r="X36" i="31"/>
  <c r="V36" i="31"/>
  <c r="U21" i="31"/>
  <c r="L21" i="31"/>
  <c r="H21" i="31"/>
  <c r="U15" i="31"/>
  <c r="T15" i="31"/>
  <c r="L15" i="31"/>
  <c r="H15" i="31"/>
  <c r="D15" i="31"/>
  <c r="X14" i="31"/>
  <c r="N14" i="31"/>
  <c r="Y13" i="31"/>
  <c r="X13" i="31"/>
  <c r="R13" i="31"/>
  <c r="J13" i="31"/>
  <c r="F13" i="31"/>
  <c r="X12" i="31"/>
  <c r="N12" i="31"/>
  <c r="J12" i="31"/>
  <c r="F12" i="31"/>
  <c r="Y11" i="31"/>
  <c r="X11" i="31"/>
  <c r="R11" i="31"/>
  <c r="N11" i="31"/>
  <c r="J11" i="31"/>
  <c r="F11" i="31"/>
  <c r="X10" i="31"/>
  <c r="N10" i="31"/>
  <c r="V56" i="31" l="1"/>
  <c r="U60" i="31"/>
  <c r="V60" i="31" s="1"/>
  <c r="Y58" i="31"/>
  <c r="Z58" i="31" s="1"/>
  <c r="Q60" i="31"/>
  <c r="R60" i="31" s="1"/>
  <c r="F53" i="31"/>
  <c r="Y56" i="31"/>
  <c r="Z56" i="31" s="1"/>
  <c r="M98" i="31"/>
  <c r="N98" i="31" s="1"/>
  <c r="F60" i="31"/>
  <c r="F69" i="31"/>
  <c r="V69" i="31"/>
  <c r="Z68" i="31"/>
  <c r="R69" i="31"/>
  <c r="R78" i="31"/>
  <c r="Z36" i="31"/>
  <c r="V53" i="31"/>
  <c r="P98" i="31"/>
  <c r="P100" i="31" s="1"/>
  <c r="Q79" i="31"/>
  <c r="R79" i="31" s="1"/>
  <c r="Z37" i="31"/>
  <c r="J69" i="31"/>
  <c r="J53" i="31"/>
  <c r="V15" i="31"/>
  <c r="L53" i="31"/>
  <c r="N53" i="31" s="1"/>
  <c r="N60" i="31"/>
  <c r="T21" i="31"/>
  <c r="X80" i="31"/>
  <c r="X15" i="31"/>
  <c r="R10" i="31"/>
  <c r="X69" i="31"/>
  <c r="Z11" i="31"/>
  <c r="Z13" i="31"/>
  <c r="Y53" i="31"/>
  <c r="M80" i="31"/>
  <c r="F98" i="31"/>
  <c r="I15" i="31"/>
  <c r="J60" i="31"/>
  <c r="U100" i="31"/>
  <c r="N69" i="31"/>
  <c r="D100" i="31"/>
  <c r="R14" i="31"/>
  <c r="M15" i="31"/>
  <c r="J14" i="31"/>
  <c r="Y69" i="31"/>
  <c r="E15" i="31"/>
  <c r="F15" i="31" s="1"/>
  <c r="T98" i="31"/>
  <c r="V98" i="31" s="1"/>
  <c r="Y57" i="31"/>
  <c r="Z57" i="31" s="1"/>
  <c r="F77" i="31"/>
  <c r="F14" i="31"/>
  <c r="E21" i="31"/>
  <c r="R53" i="31"/>
  <c r="E80" i="31"/>
  <c r="L100" i="31"/>
  <c r="R12" i="31"/>
  <c r="Z12" i="31" s="1"/>
  <c r="N77" i="31"/>
  <c r="Q77" i="31"/>
  <c r="X60" i="31"/>
  <c r="F79" i="31"/>
  <c r="V80" i="31"/>
  <c r="J98" i="31"/>
  <c r="H100" i="31"/>
  <c r="R58" i="31"/>
  <c r="F78" i="31"/>
  <c r="F10" i="31"/>
  <c r="J10" i="31"/>
  <c r="I21" i="31"/>
  <c r="J21" i="31" s="1"/>
  <c r="I80" i="31"/>
  <c r="I100" i="31" s="1"/>
  <c r="X33" i="30"/>
  <c r="Y33" i="30"/>
  <c r="R37" i="30"/>
  <c r="R33" i="30"/>
  <c r="R35" i="30"/>
  <c r="R38" i="30"/>
  <c r="X34" i="30"/>
  <c r="Y34" i="30"/>
  <c r="R34" i="30"/>
  <c r="P23" i="30"/>
  <c r="X37" i="30"/>
  <c r="Y37" i="30"/>
  <c r="N37" i="30"/>
  <c r="X41" i="30"/>
  <c r="Y41" i="30"/>
  <c r="X32" i="30"/>
  <c r="Y32" i="30"/>
  <c r="X36" i="30"/>
  <c r="Y36" i="30"/>
  <c r="X38" i="30"/>
  <c r="Y38" i="30"/>
  <c r="X42" i="30"/>
  <c r="Y42" i="30"/>
  <c r="N38" i="30"/>
  <c r="J32" i="30"/>
  <c r="X35" i="30"/>
  <c r="Y35" i="30"/>
  <c r="J35" i="30"/>
  <c r="J36" i="30"/>
  <c r="X21" i="31" l="1"/>
  <c r="Q98" i="31"/>
  <c r="Y98" i="31" s="1"/>
  <c r="M100" i="31"/>
  <c r="J80" i="31"/>
  <c r="T100" i="31"/>
  <c r="V100" i="31" s="1"/>
  <c r="Z78" i="31"/>
  <c r="Y78" i="31"/>
  <c r="N80" i="31"/>
  <c r="Z34" i="30"/>
  <c r="Z79" i="31"/>
  <c r="E127" i="31" s="1"/>
  <c r="Y79" i="31"/>
  <c r="Z69" i="31"/>
  <c r="Y10" i="31"/>
  <c r="V21" i="31"/>
  <c r="Y12" i="31"/>
  <c r="Q15" i="31"/>
  <c r="R15" i="31" s="1"/>
  <c r="Y60" i="31"/>
  <c r="Z60" i="31" s="1"/>
  <c r="J15" i="31"/>
  <c r="Y14" i="31"/>
  <c r="Z10" i="31"/>
  <c r="Z14" i="31"/>
  <c r="N15" i="31"/>
  <c r="Q21" i="31"/>
  <c r="R21" i="31" s="1"/>
  <c r="J100" i="31"/>
  <c r="E100" i="31"/>
  <c r="E105" i="31" s="1"/>
  <c r="F80" i="31"/>
  <c r="Q80" i="31"/>
  <c r="R77" i="31"/>
  <c r="Z77" i="31" s="1"/>
  <c r="E125" i="31" s="1"/>
  <c r="M21" i="31"/>
  <c r="N21" i="31" s="1"/>
  <c r="F21" i="31"/>
  <c r="X98" i="31"/>
  <c r="Y77" i="31"/>
  <c r="Z42" i="30"/>
  <c r="Z41" i="30"/>
  <c r="Z32" i="30"/>
  <c r="Z36" i="30"/>
  <c r="Z33" i="30"/>
  <c r="Z37" i="30"/>
  <c r="Z38" i="30"/>
  <c r="Z35" i="30"/>
  <c r="R100" i="30"/>
  <c r="E126" i="31" l="1"/>
  <c r="N100" i="31"/>
  <c r="E106" i="31"/>
  <c r="R98" i="31"/>
  <c r="Z98" i="31" s="1"/>
  <c r="X100" i="31"/>
  <c r="Y15" i="31"/>
  <c r="Y21" i="31"/>
  <c r="Z15" i="31"/>
  <c r="Q100" i="31"/>
  <c r="R80" i="31"/>
  <c r="Z80" i="31" s="1"/>
  <c r="Z21" i="31"/>
  <c r="X53" i="31"/>
  <c r="Z53" i="31" s="1"/>
  <c r="Y80" i="31"/>
  <c r="F100" i="31"/>
  <c r="V18" i="29"/>
  <c r="R100" i="31" l="1"/>
  <c r="Z100" i="31" s="1"/>
  <c r="E107" i="31"/>
  <c r="Y100" i="31"/>
  <c r="N98" i="30"/>
  <c r="J98" i="30"/>
  <c r="M10" i="29"/>
  <c r="I10" i="29"/>
  <c r="E10" i="29"/>
  <c r="M11" i="29"/>
  <c r="I11" i="29"/>
  <c r="E11" i="29"/>
  <c r="P40" i="29"/>
  <c r="Q10" i="29" l="1"/>
  <c r="Q11" i="29"/>
  <c r="Q55" i="29" l="1"/>
  <c r="Q56" i="29" s="1"/>
  <c r="X55" i="29"/>
  <c r="X54" i="29"/>
  <c r="U56" i="29"/>
  <c r="T56" i="29"/>
  <c r="P56" i="29"/>
  <c r="D56" i="29"/>
  <c r="E56" i="29"/>
  <c r="H56" i="29"/>
  <c r="I56" i="29"/>
  <c r="L56" i="29"/>
  <c r="M54" i="29"/>
  <c r="Y54" i="29" s="1"/>
  <c r="Y55" i="29" l="1"/>
  <c r="Z55" i="29" s="1"/>
  <c r="J56" i="29"/>
  <c r="R55" i="29"/>
  <c r="N54" i="29"/>
  <c r="M56" i="29"/>
  <c r="Z54" i="29"/>
  <c r="D77" i="29"/>
  <c r="X74" i="29"/>
  <c r="Q74" i="29"/>
  <c r="R74" i="29" s="1"/>
  <c r="Z74" i="29" s="1"/>
  <c r="P73" i="29"/>
  <c r="X73" i="29" s="1"/>
  <c r="M73" i="29"/>
  <c r="N73" i="29" s="1"/>
  <c r="X72" i="29"/>
  <c r="I72" i="29"/>
  <c r="J72" i="29" s="1"/>
  <c r="Z72" i="29" s="1"/>
  <c r="T70" i="29"/>
  <c r="V70" i="29" s="1"/>
  <c r="X46" i="29"/>
  <c r="X47" i="29"/>
  <c r="Q46" i="29"/>
  <c r="R46" i="29" s="1"/>
  <c r="P48" i="29"/>
  <c r="M48" i="29"/>
  <c r="L48" i="29"/>
  <c r="I48" i="29"/>
  <c r="H48" i="29"/>
  <c r="D48" i="29"/>
  <c r="P30" i="29"/>
  <c r="P20" i="29"/>
  <c r="E47" i="29"/>
  <c r="F47" i="29" s="1"/>
  <c r="M14" i="29"/>
  <c r="I14" i="29"/>
  <c r="E14" i="29"/>
  <c r="Q70" i="29" l="1"/>
  <c r="R70" i="29" s="1"/>
  <c r="Z70" i="29" s="1"/>
  <c r="X70" i="29"/>
  <c r="Y74" i="29"/>
  <c r="Y72" i="29"/>
  <c r="Q73" i="29"/>
  <c r="Y73" i="29" s="1"/>
  <c r="Q48" i="29"/>
  <c r="R48" i="29" s="1"/>
  <c r="Y46" i="29"/>
  <c r="Z46" i="29" s="1"/>
  <c r="J48" i="29"/>
  <c r="E48" i="29"/>
  <c r="Y47" i="29"/>
  <c r="Z47" i="29" s="1"/>
  <c r="Q14" i="29"/>
  <c r="N48" i="29"/>
  <c r="Y40" i="30"/>
  <c r="Y39" i="30"/>
  <c r="X39" i="30"/>
  <c r="J42" i="30"/>
  <c r="R41" i="30"/>
  <c r="P40" i="30"/>
  <c r="X40" i="30" s="1"/>
  <c r="N40" i="30"/>
  <c r="J39" i="30"/>
  <c r="P22" i="30"/>
  <c r="Q22" i="30" s="1"/>
  <c r="M22" i="30"/>
  <c r="N22" i="30" s="1"/>
  <c r="D26" i="30"/>
  <c r="Y70" i="29" l="1"/>
  <c r="X22" i="30"/>
  <c r="R40" i="30"/>
  <c r="Z39" i="30"/>
  <c r="R73" i="29"/>
  <c r="Z73" i="29" s="1"/>
  <c r="R22" i="30"/>
  <c r="Z22" i="30" s="1"/>
  <c r="Y22" i="30"/>
  <c r="Z40" i="30"/>
  <c r="X23" i="30"/>
  <c r="Q23" i="30"/>
  <c r="Y23" i="30" s="1"/>
  <c r="X48" i="30"/>
  <c r="Q52" i="30" l="1"/>
  <c r="R23" i="30"/>
  <c r="Z23" i="30" s="1"/>
  <c r="Y48" i="30"/>
  <c r="Z48" i="30" s="1"/>
  <c r="N40" i="29"/>
  <c r="M12" i="29"/>
  <c r="I12" i="29"/>
  <c r="E12" i="29"/>
  <c r="E65" i="29"/>
  <c r="Q12" i="29" l="1"/>
  <c r="M11" i="28"/>
  <c r="I11" i="28"/>
  <c r="E11" i="28"/>
  <c r="M10" i="28"/>
  <c r="I10" i="28"/>
  <c r="E10" i="28"/>
  <c r="Q10" i="28" l="1"/>
  <c r="Q11" i="28"/>
  <c r="N95" i="29"/>
  <c r="Y40" i="29"/>
  <c r="X40" i="29"/>
  <c r="R40" i="29" l="1"/>
  <c r="Z40" i="29"/>
  <c r="X35" i="29"/>
  <c r="Y35" i="29"/>
  <c r="X37" i="29"/>
  <c r="Y37" i="29"/>
  <c r="X38" i="29"/>
  <c r="Y38" i="29"/>
  <c r="X33" i="29"/>
  <c r="Y33" i="29"/>
  <c r="X39" i="29"/>
  <c r="Y39" i="29"/>
  <c r="R33" i="29"/>
  <c r="R35" i="29"/>
  <c r="R32" i="29"/>
  <c r="Y34" i="29"/>
  <c r="X34" i="29"/>
  <c r="J34" i="29"/>
  <c r="Y32" i="29"/>
  <c r="X32" i="29"/>
  <c r="J32" i="29"/>
  <c r="X64" i="28"/>
  <c r="H66" i="28"/>
  <c r="M65" i="28"/>
  <c r="N65" i="28" s="1"/>
  <c r="M64" i="28"/>
  <c r="N64" i="28" s="1"/>
  <c r="Y61" i="28"/>
  <c r="X61" i="28"/>
  <c r="U66" i="28"/>
  <c r="T66" i="28"/>
  <c r="P66" i="28"/>
  <c r="L66" i="28"/>
  <c r="E66" i="28"/>
  <c r="D66" i="28"/>
  <c r="Y13" i="30"/>
  <c r="X13" i="30"/>
  <c r="R13" i="30"/>
  <c r="N13" i="30"/>
  <c r="J13" i="30"/>
  <c r="F13" i="30"/>
  <c r="Y13" i="29"/>
  <c r="X13" i="29"/>
  <c r="R13" i="29"/>
  <c r="N13" i="29"/>
  <c r="J13" i="29"/>
  <c r="F13" i="29"/>
  <c r="H38" i="28"/>
  <c r="J97" i="29"/>
  <c r="P40" i="28"/>
  <c r="H40" i="28"/>
  <c r="H28" i="28"/>
  <c r="R98" i="29"/>
  <c r="I55" i="28"/>
  <c r="J55" i="28" s="1"/>
  <c r="E57" i="28"/>
  <c r="D57" i="28"/>
  <c r="H57" i="28"/>
  <c r="M57" i="28"/>
  <c r="L57" i="28"/>
  <c r="P57" i="28"/>
  <c r="T57" i="28"/>
  <c r="Q56" i="28"/>
  <c r="R56" i="28" s="1"/>
  <c r="P41" i="28"/>
  <c r="X56" i="28"/>
  <c r="X54" i="28"/>
  <c r="V54" i="28"/>
  <c r="Q54" i="28"/>
  <c r="R54" i="28" s="1"/>
  <c r="R13" i="28"/>
  <c r="Z13" i="28" s="1"/>
  <c r="Y13" i="28"/>
  <c r="X13" i="28"/>
  <c r="Z61" i="28" l="1"/>
  <c r="N57" i="28"/>
  <c r="F57" i="28"/>
  <c r="Y54" i="28"/>
  <c r="Z54" i="28" s="1"/>
  <c r="Y64" i="28"/>
  <c r="Z64" i="28" s="1"/>
  <c r="Z38" i="29"/>
  <c r="Z13" i="29"/>
  <c r="Z13" i="30"/>
  <c r="Z33" i="29"/>
  <c r="Z39" i="29"/>
  <c r="Z37" i="29"/>
  <c r="Z35" i="29"/>
  <c r="Z34" i="29"/>
  <c r="Z32" i="29"/>
  <c r="Q57" i="28"/>
  <c r="R57" i="28" s="1"/>
  <c r="Y56" i="28"/>
  <c r="Z56" i="28" s="1"/>
  <c r="M66" i="28"/>
  <c r="I57" i="28"/>
  <c r="J57" i="28" s="1"/>
  <c r="M14" i="28"/>
  <c r="I14" i="28"/>
  <c r="E14" i="28"/>
  <c r="Q14" i="28" l="1"/>
  <c r="F96" i="30"/>
  <c r="U78" i="30"/>
  <c r="L78" i="30"/>
  <c r="I78" i="30"/>
  <c r="H78" i="30"/>
  <c r="E78" i="30"/>
  <c r="D78" i="30"/>
  <c r="M78" i="30"/>
  <c r="T74" i="30"/>
  <c r="X74" i="30" s="1"/>
  <c r="U71" i="30"/>
  <c r="T71" i="30"/>
  <c r="P71" i="30"/>
  <c r="L71" i="30"/>
  <c r="H71" i="30"/>
  <c r="D71" i="30"/>
  <c r="X70" i="30"/>
  <c r="M70" i="30"/>
  <c r="N70" i="30" s="1"/>
  <c r="I70" i="30"/>
  <c r="J70" i="30" s="1"/>
  <c r="E70" i="30"/>
  <c r="X69" i="30"/>
  <c r="N69" i="30"/>
  <c r="X68" i="30"/>
  <c r="M68" i="30"/>
  <c r="N68" i="30" s="1"/>
  <c r="I68" i="30"/>
  <c r="E68" i="30"/>
  <c r="F68" i="30" s="1"/>
  <c r="U60" i="30"/>
  <c r="T60" i="30"/>
  <c r="Q60" i="30"/>
  <c r="P60" i="30"/>
  <c r="Y57" i="30"/>
  <c r="X57" i="30"/>
  <c r="V57" i="30"/>
  <c r="R57" i="30"/>
  <c r="N57" i="30"/>
  <c r="J57" i="30"/>
  <c r="F57" i="30"/>
  <c r="T52" i="30"/>
  <c r="X52" i="30" s="1"/>
  <c r="E52" i="30"/>
  <c r="X47" i="30"/>
  <c r="Y47" i="30"/>
  <c r="U44" i="30"/>
  <c r="T44" i="30"/>
  <c r="Q44" i="30"/>
  <c r="M44" i="30"/>
  <c r="I44" i="30"/>
  <c r="H44" i="30"/>
  <c r="E44" i="30"/>
  <c r="D44" i="30"/>
  <c r="Y43" i="30"/>
  <c r="X43" i="30"/>
  <c r="F43" i="30"/>
  <c r="Y30" i="30"/>
  <c r="X30" i="30"/>
  <c r="V30" i="30"/>
  <c r="Y29" i="30"/>
  <c r="X29" i="30"/>
  <c r="V29" i="30"/>
  <c r="U26" i="30"/>
  <c r="L26" i="30"/>
  <c r="T19" i="30"/>
  <c r="Q19" i="30" s="1"/>
  <c r="X18" i="30"/>
  <c r="V18" i="30"/>
  <c r="Q18" i="30"/>
  <c r="U15" i="30"/>
  <c r="T15" i="30"/>
  <c r="P15" i="30"/>
  <c r="L15" i="30"/>
  <c r="H15" i="30"/>
  <c r="D15" i="30"/>
  <c r="X14" i="30"/>
  <c r="N14" i="30"/>
  <c r="J14" i="30"/>
  <c r="F14" i="30"/>
  <c r="X12" i="30"/>
  <c r="N12" i="30"/>
  <c r="J12" i="30"/>
  <c r="Y11" i="30"/>
  <c r="X11" i="30"/>
  <c r="R11" i="30"/>
  <c r="N11" i="30"/>
  <c r="J11" i="30"/>
  <c r="F11" i="30"/>
  <c r="X10" i="30"/>
  <c r="Z57" i="30" l="1"/>
  <c r="R52" i="30"/>
  <c r="J44" i="30"/>
  <c r="V15" i="30"/>
  <c r="P78" i="30"/>
  <c r="P80" i="30" s="1"/>
  <c r="M26" i="30"/>
  <c r="N26" i="30" s="1"/>
  <c r="N52" i="30"/>
  <c r="Q68" i="30"/>
  <c r="Y68" i="30" s="1"/>
  <c r="N44" i="30"/>
  <c r="N78" i="30"/>
  <c r="F52" i="30"/>
  <c r="M15" i="30"/>
  <c r="N15" i="30" s="1"/>
  <c r="R12" i="30"/>
  <c r="Z30" i="30"/>
  <c r="J52" i="30"/>
  <c r="I71" i="30"/>
  <c r="I80" i="30" s="1"/>
  <c r="J68" i="30"/>
  <c r="X19" i="30"/>
  <c r="P44" i="30"/>
  <c r="R44" i="30" s="1"/>
  <c r="E15" i="30"/>
  <c r="F15" i="30" s="1"/>
  <c r="R10" i="30"/>
  <c r="E26" i="30"/>
  <c r="F26" i="30" s="1"/>
  <c r="X15" i="30"/>
  <c r="P26" i="30"/>
  <c r="Y60" i="30"/>
  <c r="V60" i="30"/>
  <c r="U80" i="30"/>
  <c r="Z11" i="30"/>
  <c r="T26" i="30"/>
  <c r="J60" i="30"/>
  <c r="R69" i="30"/>
  <c r="H80" i="30"/>
  <c r="Z43" i="30"/>
  <c r="N60" i="30"/>
  <c r="X71" i="30"/>
  <c r="Y44" i="30"/>
  <c r="F44" i="30"/>
  <c r="V44" i="30"/>
  <c r="R60" i="30"/>
  <c r="M71" i="30"/>
  <c r="M80" i="30" s="1"/>
  <c r="U52" i="30"/>
  <c r="V52" i="30" s="1"/>
  <c r="R19" i="30"/>
  <c r="Y19" i="30"/>
  <c r="X44" i="30"/>
  <c r="Z47" i="30"/>
  <c r="I15" i="30"/>
  <c r="J15" i="30" s="1"/>
  <c r="N10" i="30"/>
  <c r="F60" i="30"/>
  <c r="J69" i="30"/>
  <c r="Y18" i="30"/>
  <c r="Z29" i="30"/>
  <c r="F10" i="30"/>
  <c r="E71" i="30"/>
  <c r="L80" i="30"/>
  <c r="X60" i="30"/>
  <c r="Q74" i="30"/>
  <c r="J10" i="30"/>
  <c r="F12" i="30"/>
  <c r="R14" i="30"/>
  <c r="Z14" i="30" s="1"/>
  <c r="R18" i="30"/>
  <c r="Z18" i="30" s="1"/>
  <c r="V19" i="30"/>
  <c r="F69" i="30"/>
  <c r="Q70" i="30"/>
  <c r="R70" i="30" s="1"/>
  <c r="F78" i="30"/>
  <c r="D80" i="30"/>
  <c r="H26" i="30"/>
  <c r="V74" i="30"/>
  <c r="T78" i="30"/>
  <c r="V78" i="30" s="1"/>
  <c r="F70" i="30"/>
  <c r="V71" i="30"/>
  <c r="J78" i="30"/>
  <c r="L24" i="29"/>
  <c r="H22" i="29"/>
  <c r="Q66" i="28"/>
  <c r="I65" i="28"/>
  <c r="I66" i="28" s="1"/>
  <c r="M75" i="28"/>
  <c r="I75" i="28"/>
  <c r="E75" i="28"/>
  <c r="M74" i="28"/>
  <c r="I74" i="28"/>
  <c r="E74" i="28"/>
  <c r="X85" i="28"/>
  <c r="Q85" i="28"/>
  <c r="M85" i="28"/>
  <c r="N85" i="28" s="1"/>
  <c r="X84" i="28"/>
  <c r="I84" i="28"/>
  <c r="Y84" i="28" s="1"/>
  <c r="X83" i="28"/>
  <c r="Q83" i="28"/>
  <c r="R83" i="28" s="1"/>
  <c r="I83" i="28"/>
  <c r="X82" i="28"/>
  <c r="E82" i="28"/>
  <c r="F82" i="28" s="1"/>
  <c r="Z82" i="28" s="1"/>
  <c r="L50" i="28"/>
  <c r="Y52" i="30" l="1"/>
  <c r="Z52" i="30" s="1"/>
  <c r="R68" i="30"/>
  <c r="Z68" i="30" s="1"/>
  <c r="E104" i="30" s="1"/>
  <c r="Y10" i="30"/>
  <c r="Y83" i="28"/>
  <c r="Q75" i="28"/>
  <c r="J71" i="30"/>
  <c r="X26" i="30"/>
  <c r="Y85" i="28"/>
  <c r="Y82" i="28"/>
  <c r="Q74" i="28"/>
  <c r="Z44" i="30"/>
  <c r="Y12" i="30"/>
  <c r="J80" i="30"/>
  <c r="Z12" i="30"/>
  <c r="Y69" i="30"/>
  <c r="Q26" i="30"/>
  <c r="R26" i="30" s="1"/>
  <c r="V26" i="30"/>
  <c r="N71" i="30"/>
  <c r="Q71" i="30"/>
  <c r="R71" i="30" s="1"/>
  <c r="Z60" i="30"/>
  <c r="N80" i="30"/>
  <c r="Z19" i="30"/>
  <c r="Z70" i="30"/>
  <c r="E106" i="30" s="1"/>
  <c r="Y70" i="30"/>
  <c r="Q15" i="30"/>
  <c r="Y15" i="30" s="1"/>
  <c r="Y14" i="30"/>
  <c r="F71" i="30"/>
  <c r="E80" i="30"/>
  <c r="F80" i="30" s="1"/>
  <c r="Z69" i="30"/>
  <c r="Z10" i="30"/>
  <c r="I26" i="30"/>
  <c r="Y74" i="30"/>
  <c r="Q78" i="30"/>
  <c r="R74" i="30"/>
  <c r="Z74" i="30" s="1"/>
  <c r="T80" i="30"/>
  <c r="V80" i="30" s="1"/>
  <c r="X78" i="30"/>
  <c r="R85" i="28"/>
  <c r="Z85" i="28" s="1"/>
  <c r="J84" i="28"/>
  <c r="Z84" i="28" s="1"/>
  <c r="J83" i="28"/>
  <c r="Z83" i="28" s="1"/>
  <c r="Q31" i="28"/>
  <c r="R31" i="28" s="1"/>
  <c r="M31" i="28"/>
  <c r="M32" i="28" s="1"/>
  <c r="R49" i="28"/>
  <c r="N49" i="28"/>
  <c r="Y48" i="28"/>
  <c r="X48" i="28"/>
  <c r="R48" i="28"/>
  <c r="X31" i="28"/>
  <c r="U32" i="28"/>
  <c r="T32" i="28"/>
  <c r="P32" i="28"/>
  <c r="L32" i="28"/>
  <c r="I32" i="28"/>
  <c r="H32" i="28"/>
  <c r="E32" i="28"/>
  <c r="D32" i="28"/>
  <c r="R39" i="29"/>
  <c r="N39" i="29"/>
  <c r="J38" i="29"/>
  <c r="J37" i="29"/>
  <c r="X36" i="29"/>
  <c r="Y36" i="29"/>
  <c r="F36" i="29"/>
  <c r="E105" i="30" l="1"/>
  <c r="F32" i="28"/>
  <c r="Z48" i="28"/>
  <c r="Z36" i="29"/>
  <c r="Q32" i="28"/>
  <c r="R32" i="28" s="1"/>
  <c r="V32" i="28"/>
  <c r="Y26" i="30"/>
  <c r="Y71" i="30"/>
  <c r="Z71" i="30"/>
  <c r="J26" i="30"/>
  <c r="Z26" i="30" s="1"/>
  <c r="R78" i="30"/>
  <c r="Z78" i="30" s="1"/>
  <c r="Y78" i="30"/>
  <c r="X80" i="30"/>
  <c r="R15" i="30"/>
  <c r="Z15" i="30" s="1"/>
  <c r="Q80" i="30"/>
  <c r="R80" i="30" s="1"/>
  <c r="Z80" i="30" s="1"/>
  <c r="N31" i="28"/>
  <c r="Z31" i="28" s="1"/>
  <c r="Y31" i="28"/>
  <c r="N32" i="28"/>
  <c r="X32" i="28"/>
  <c r="J32" i="28"/>
  <c r="M65" i="29"/>
  <c r="I65" i="29"/>
  <c r="M64" i="29"/>
  <c r="I64" i="29"/>
  <c r="E64" i="29"/>
  <c r="D25" i="29"/>
  <c r="Q24" i="29"/>
  <c r="R24" i="29" s="1"/>
  <c r="M24" i="29"/>
  <c r="I23" i="29"/>
  <c r="J23" i="29" s="1"/>
  <c r="Z23" i="29" s="1"/>
  <c r="X22" i="29"/>
  <c r="X23" i="29"/>
  <c r="X24" i="29"/>
  <c r="I22" i="29"/>
  <c r="J22" i="29" s="1"/>
  <c r="Y32" i="28" l="1"/>
  <c r="Q65" i="29"/>
  <c r="Y80" i="30"/>
  <c r="Z32" i="28"/>
  <c r="Q64" i="29"/>
  <c r="Y24" i="29"/>
  <c r="Y23" i="29"/>
  <c r="N24" i="29"/>
  <c r="Z24" i="29" s="1"/>
  <c r="M12" i="28"/>
  <c r="I12" i="28"/>
  <c r="E12" i="28"/>
  <c r="Q12" i="28" l="1"/>
  <c r="E15" i="28"/>
  <c r="R41" i="28"/>
  <c r="J41" i="28"/>
  <c r="J38" i="28"/>
  <c r="R40" i="28"/>
  <c r="J40" i="28"/>
  <c r="J39" i="28"/>
  <c r="X38" i="28"/>
  <c r="Y38" i="28"/>
  <c r="X39" i="28"/>
  <c r="Y39" i="28"/>
  <c r="X40" i="28"/>
  <c r="Y40" i="28"/>
  <c r="X41" i="28"/>
  <c r="Y41" i="28"/>
  <c r="M14" i="26"/>
  <c r="I14" i="26"/>
  <c r="E14" i="26"/>
  <c r="Q48" i="25"/>
  <c r="R48" i="25" s="1"/>
  <c r="T32" i="25"/>
  <c r="P53" i="25"/>
  <c r="Q48" i="26"/>
  <c r="T44" i="26"/>
  <c r="L44" i="26"/>
  <c r="T55" i="26"/>
  <c r="P55" i="26"/>
  <c r="M55" i="26"/>
  <c r="L55" i="26"/>
  <c r="D55" i="26"/>
  <c r="H55" i="26"/>
  <c r="X50" i="26"/>
  <c r="R94" i="25"/>
  <c r="J94" i="26"/>
  <c r="I50" i="26"/>
  <c r="J50" i="26" s="1"/>
  <c r="P34" i="26"/>
  <c r="R97" i="26"/>
  <c r="Z39" i="28" l="1"/>
  <c r="Z38" i="28"/>
  <c r="Z41" i="28"/>
  <c r="I55" i="26"/>
  <c r="Z40" i="28"/>
  <c r="Y50" i="26"/>
  <c r="Z50" i="26" s="1"/>
  <c r="J97" i="26" l="1"/>
  <c r="J98" i="26" s="1"/>
  <c r="J108" i="28"/>
  <c r="J105" i="28"/>
  <c r="X49" i="26"/>
  <c r="Q49" i="26"/>
  <c r="Y49" i="26" s="1"/>
  <c r="Y37" i="26"/>
  <c r="X37" i="26"/>
  <c r="Y38" i="26"/>
  <c r="X38" i="26"/>
  <c r="X52" i="26"/>
  <c r="X54" i="26"/>
  <c r="Q52" i="26"/>
  <c r="R52" i="26" s="1"/>
  <c r="R37" i="26"/>
  <c r="Q54" i="26"/>
  <c r="R54" i="26" s="1"/>
  <c r="X51" i="26"/>
  <c r="Q51" i="26"/>
  <c r="R51" i="26" s="1"/>
  <c r="J109" i="28" l="1"/>
  <c r="Z38" i="26"/>
  <c r="Q55" i="26"/>
  <c r="Y54" i="26"/>
  <c r="Z54" i="26" s="1"/>
  <c r="Z37" i="26"/>
  <c r="Y52" i="26"/>
  <c r="Z52" i="26" s="1"/>
  <c r="R49" i="26"/>
  <c r="Z49" i="26"/>
  <c r="Y51" i="26"/>
  <c r="Z51" i="26" s="1"/>
  <c r="R48" i="26"/>
  <c r="E53" i="26"/>
  <c r="D39" i="26"/>
  <c r="X53" i="26"/>
  <c r="Q14" i="26"/>
  <c r="M10" i="26"/>
  <c r="I10" i="26"/>
  <c r="E10" i="26"/>
  <c r="Y53" i="26" l="1"/>
  <c r="Z53" i="26" s="1"/>
  <c r="E55" i="26"/>
  <c r="Q10" i="26"/>
  <c r="F53" i="26"/>
  <c r="M68" i="25"/>
  <c r="I68" i="25"/>
  <c r="E68" i="25"/>
  <c r="X45" i="28"/>
  <c r="Y45" i="28"/>
  <c r="X46" i="28"/>
  <c r="Y46" i="28"/>
  <c r="X47" i="28"/>
  <c r="Y47" i="28"/>
  <c r="X36" i="28"/>
  <c r="Y36" i="28"/>
  <c r="X49" i="28"/>
  <c r="Y49" i="28"/>
  <c r="Y37" i="28"/>
  <c r="H50" i="28"/>
  <c r="J46" i="28"/>
  <c r="J45" i="28"/>
  <c r="J44" i="28"/>
  <c r="X43" i="28"/>
  <c r="Y43" i="28"/>
  <c r="X44" i="28"/>
  <c r="R43" i="28"/>
  <c r="T19" i="29"/>
  <c r="T80" i="28"/>
  <c r="X25" i="28"/>
  <c r="X26" i="28"/>
  <c r="X27" i="28"/>
  <c r="X42" i="28"/>
  <c r="Y42" i="28"/>
  <c r="F42" i="28"/>
  <c r="R47" i="28"/>
  <c r="N47" i="28"/>
  <c r="Z49" i="28" l="1"/>
  <c r="Z36" i="28"/>
  <c r="Z43" i="28"/>
  <c r="Q68" i="25"/>
  <c r="Z47" i="28"/>
  <c r="Z46" i="28"/>
  <c r="Z45" i="28"/>
  <c r="Z42" i="28"/>
  <c r="Y44" i="28"/>
  <c r="Z44" i="28" s="1"/>
  <c r="F94" i="29" l="1"/>
  <c r="U77" i="29"/>
  <c r="L77" i="29"/>
  <c r="I77" i="29"/>
  <c r="H77" i="29"/>
  <c r="E77" i="29"/>
  <c r="U67" i="29"/>
  <c r="T67" i="29"/>
  <c r="P67" i="29"/>
  <c r="L67" i="29"/>
  <c r="H67" i="29"/>
  <c r="D67" i="29"/>
  <c r="X66" i="29"/>
  <c r="M66" i="29"/>
  <c r="N66" i="29" s="1"/>
  <c r="I66" i="29"/>
  <c r="J66" i="29" s="1"/>
  <c r="E66" i="29"/>
  <c r="F66" i="29" s="1"/>
  <c r="X65" i="29"/>
  <c r="R65" i="29"/>
  <c r="X64" i="29"/>
  <c r="J64" i="29"/>
  <c r="F64" i="29"/>
  <c r="Y53" i="29"/>
  <c r="X53" i="29"/>
  <c r="V53" i="29"/>
  <c r="R53" i="29"/>
  <c r="N53" i="29"/>
  <c r="J53" i="29"/>
  <c r="F53" i="29"/>
  <c r="T48" i="29"/>
  <c r="U41" i="29"/>
  <c r="T41" i="29"/>
  <c r="Q41" i="29"/>
  <c r="M41" i="29"/>
  <c r="L41" i="29"/>
  <c r="I41" i="29"/>
  <c r="H41" i="29"/>
  <c r="E41" i="29"/>
  <c r="D41" i="29"/>
  <c r="Y30" i="29"/>
  <c r="R30" i="29"/>
  <c r="N30" i="29"/>
  <c r="Y29" i="29"/>
  <c r="X29" i="29"/>
  <c r="V29" i="29"/>
  <c r="Y28" i="29"/>
  <c r="X28" i="29"/>
  <c r="V28" i="29"/>
  <c r="U25" i="29"/>
  <c r="T25" i="29"/>
  <c r="P25" i="29"/>
  <c r="L25" i="29"/>
  <c r="H25" i="29"/>
  <c r="M20" i="29"/>
  <c r="N20" i="29" s="1"/>
  <c r="Q22" i="29"/>
  <c r="X21" i="29"/>
  <c r="E21" i="29"/>
  <c r="F21" i="29" s="1"/>
  <c r="Z21" i="29" s="1"/>
  <c r="X19" i="29"/>
  <c r="V19" i="29"/>
  <c r="Q19" i="29"/>
  <c r="Y19" i="29" s="1"/>
  <c r="X18" i="29"/>
  <c r="U15" i="29"/>
  <c r="T15" i="29"/>
  <c r="P15" i="29"/>
  <c r="L15" i="29"/>
  <c r="H15" i="29"/>
  <c r="D15" i="29"/>
  <c r="X14" i="29"/>
  <c r="N14" i="29"/>
  <c r="J14" i="29"/>
  <c r="X12" i="29"/>
  <c r="N12" i="29"/>
  <c r="J12" i="29"/>
  <c r="R12" i="29"/>
  <c r="Y11" i="29"/>
  <c r="X11" i="29"/>
  <c r="R11" i="29"/>
  <c r="N11" i="29"/>
  <c r="J11" i="29"/>
  <c r="F11" i="29"/>
  <c r="X10" i="29"/>
  <c r="Q27" i="28"/>
  <c r="Q26" i="28"/>
  <c r="R26" i="28" s="1"/>
  <c r="M26" i="28"/>
  <c r="X24" i="28"/>
  <c r="I24" i="28"/>
  <c r="J24" i="28" s="1"/>
  <c r="Z24" i="28" s="1"/>
  <c r="E21" i="28"/>
  <c r="U79" i="29" l="1"/>
  <c r="M15" i="29"/>
  <c r="N15" i="29" s="1"/>
  <c r="Z28" i="29"/>
  <c r="R22" i="29"/>
  <c r="Z22" i="29" s="1"/>
  <c r="Y22" i="29"/>
  <c r="M67" i="29"/>
  <c r="N67" i="29" s="1"/>
  <c r="X25" i="29"/>
  <c r="N64" i="29"/>
  <c r="I15" i="29"/>
  <c r="J15" i="29" s="1"/>
  <c r="Z11" i="29"/>
  <c r="V25" i="29"/>
  <c r="V56" i="29"/>
  <c r="Y24" i="28"/>
  <c r="X67" i="29"/>
  <c r="H79" i="29"/>
  <c r="E15" i="29"/>
  <c r="F15" i="29" s="1"/>
  <c r="Z29" i="29"/>
  <c r="V41" i="29"/>
  <c r="E67" i="29"/>
  <c r="E79" i="29" s="1"/>
  <c r="R27" i="28"/>
  <c r="Z27" i="28" s="1"/>
  <c r="Y27" i="28"/>
  <c r="N10" i="29"/>
  <c r="R19" i="29"/>
  <c r="Z19" i="29" s="1"/>
  <c r="U48" i="29"/>
  <c r="V48" i="29" s="1"/>
  <c r="R64" i="29"/>
  <c r="L79" i="29"/>
  <c r="N26" i="28"/>
  <c r="Z26" i="28" s="1"/>
  <c r="Y26" i="28"/>
  <c r="F10" i="29"/>
  <c r="E25" i="29"/>
  <c r="F25" i="29" s="1"/>
  <c r="Y41" i="29"/>
  <c r="F41" i="29"/>
  <c r="Y56" i="29"/>
  <c r="N56" i="29"/>
  <c r="F77" i="29"/>
  <c r="V15" i="29"/>
  <c r="I25" i="29"/>
  <c r="J25" i="29" s="1"/>
  <c r="J41" i="29"/>
  <c r="F48" i="29"/>
  <c r="Z53" i="29"/>
  <c r="X56" i="29"/>
  <c r="R56" i="29"/>
  <c r="J77" i="29"/>
  <c r="M77" i="29"/>
  <c r="P41" i="29"/>
  <c r="N41" i="29"/>
  <c r="P77" i="29"/>
  <c r="P79" i="29" s="1"/>
  <c r="Y65" i="29"/>
  <c r="Y21" i="29"/>
  <c r="F12" i="29"/>
  <c r="Z12" i="29" s="1"/>
  <c r="Y12" i="29"/>
  <c r="X48" i="29"/>
  <c r="F14" i="29"/>
  <c r="Y18" i="29"/>
  <c r="I67" i="29"/>
  <c r="F56" i="29"/>
  <c r="J65" i="29"/>
  <c r="T77" i="29"/>
  <c r="V77" i="29" s="1"/>
  <c r="J10" i="29"/>
  <c r="R14" i="29"/>
  <c r="Z18" i="29"/>
  <c r="X20" i="29"/>
  <c r="X30" i="29"/>
  <c r="Z30" i="29" s="1"/>
  <c r="X15" i="29"/>
  <c r="M25" i="29"/>
  <c r="N25" i="29" s="1"/>
  <c r="Q20" i="29"/>
  <c r="Y20" i="29" s="1"/>
  <c r="Y64" i="29"/>
  <c r="F65" i="29"/>
  <c r="Q66" i="29"/>
  <c r="R66" i="29" s="1"/>
  <c r="Z66" i="29" s="1"/>
  <c r="E102" i="29" s="1"/>
  <c r="D79" i="29"/>
  <c r="V67" i="29"/>
  <c r="N65" i="29"/>
  <c r="R41" i="29" l="1"/>
  <c r="Z56" i="29"/>
  <c r="M79" i="29"/>
  <c r="N79" i="29" s="1"/>
  <c r="Z64" i="29"/>
  <c r="E100" i="29" s="1"/>
  <c r="Y48" i="29"/>
  <c r="Z48" i="29" s="1"/>
  <c r="F67" i="29"/>
  <c r="Y14" i="29"/>
  <c r="Y66" i="29"/>
  <c r="N77" i="29"/>
  <c r="X41" i="29"/>
  <c r="Z41" i="29" s="1"/>
  <c r="X77" i="29"/>
  <c r="Q67" i="29"/>
  <c r="Z65" i="29"/>
  <c r="R20" i="29"/>
  <c r="Z20" i="29" s="1"/>
  <c r="R10" i="29"/>
  <c r="Z10" i="29" s="1"/>
  <c r="Y10" i="29"/>
  <c r="Q15" i="29"/>
  <c r="I79" i="29"/>
  <c r="J79" i="29" s="1"/>
  <c r="J67" i="29"/>
  <c r="Z14" i="29"/>
  <c r="Q25" i="29"/>
  <c r="R25" i="29" s="1"/>
  <c r="Z25" i="29" s="1"/>
  <c r="T79" i="29"/>
  <c r="V79" i="29" s="1"/>
  <c r="F79" i="29"/>
  <c r="Q77" i="29"/>
  <c r="E101" i="29" l="1"/>
  <c r="Y25" i="29"/>
  <c r="R67" i="29"/>
  <c r="Z67" i="29" s="1"/>
  <c r="Q79" i="29"/>
  <c r="R79" i="29" s="1"/>
  <c r="Z79" i="29" s="1"/>
  <c r="Y67" i="29"/>
  <c r="R77" i="29"/>
  <c r="Z77" i="29" s="1"/>
  <c r="Y77" i="29"/>
  <c r="X79" i="29"/>
  <c r="R15" i="29"/>
  <c r="Z15" i="29" s="1"/>
  <c r="Y15" i="29"/>
  <c r="P37" i="28"/>
  <c r="X37" i="28" s="1"/>
  <c r="Z37" i="28" s="1"/>
  <c r="Y79" i="29" l="1"/>
  <c r="J38" i="26"/>
  <c r="Y36" i="26"/>
  <c r="X36" i="26"/>
  <c r="J36" i="26"/>
  <c r="Y35" i="26"/>
  <c r="X35" i="26"/>
  <c r="J35" i="26"/>
  <c r="Y43" i="26"/>
  <c r="X43" i="26"/>
  <c r="R43" i="26"/>
  <c r="J43" i="26"/>
  <c r="Y40" i="26"/>
  <c r="X40" i="26"/>
  <c r="R40" i="26"/>
  <c r="Y42" i="26"/>
  <c r="X42" i="26"/>
  <c r="Y41" i="26"/>
  <c r="X41" i="26"/>
  <c r="R42" i="26"/>
  <c r="J42" i="26"/>
  <c r="J41" i="26"/>
  <c r="Y39" i="26"/>
  <c r="X39" i="26"/>
  <c r="F39" i="26"/>
  <c r="P20" i="28"/>
  <c r="M12" i="26"/>
  <c r="I12" i="26"/>
  <c r="E12" i="26"/>
  <c r="P76" i="26"/>
  <c r="Z36" i="26" l="1"/>
  <c r="Z40" i="26"/>
  <c r="Z42" i="26"/>
  <c r="Z43" i="26"/>
  <c r="Z41" i="26"/>
  <c r="Z35" i="26"/>
  <c r="Q12" i="26"/>
  <c r="Z39" i="26"/>
  <c r="Q28" i="26" l="1"/>
  <c r="R28" i="26" s="1"/>
  <c r="X28" i="26"/>
  <c r="U29" i="26"/>
  <c r="T29" i="26"/>
  <c r="P29" i="26"/>
  <c r="M29" i="26"/>
  <c r="L29" i="26"/>
  <c r="E29" i="26"/>
  <c r="D29" i="26"/>
  <c r="H29" i="26"/>
  <c r="I28" i="26"/>
  <c r="J28" i="26" s="1"/>
  <c r="Q29" i="26" l="1"/>
  <c r="F29" i="26"/>
  <c r="N29" i="26"/>
  <c r="I29" i="26"/>
  <c r="V29" i="26"/>
  <c r="R29" i="26"/>
  <c r="Z28" i="26"/>
  <c r="Y28" i="26"/>
  <c r="X29" i="26"/>
  <c r="R107" i="28"/>
  <c r="N106" i="28"/>
  <c r="F106" i="28"/>
  <c r="U86" i="28"/>
  <c r="L86" i="28"/>
  <c r="I86" i="28"/>
  <c r="H86" i="28"/>
  <c r="E86" i="28"/>
  <c r="D86" i="28"/>
  <c r="X80" i="28"/>
  <c r="U77" i="28"/>
  <c r="T77" i="28"/>
  <c r="P77" i="28"/>
  <c r="L77" i="28"/>
  <c r="H77" i="28"/>
  <c r="D77" i="28"/>
  <c r="X76" i="28"/>
  <c r="M76" i="28"/>
  <c r="N76" i="28" s="1"/>
  <c r="I76" i="28"/>
  <c r="J76" i="28" s="1"/>
  <c r="E76" i="28"/>
  <c r="X75" i="28"/>
  <c r="F75" i="28"/>
  <c r="X74" i="28"/>
  <c r="N74" i="28"/>
  <c r="Y65" i="28"/>
  <c r="X65" i="28"/>
  <c r="V65" i="28"/>
  <c r="R65" i="28"/>
  <c r="J65" i="28"/>
  <c r="F65" i="28"/>
  <c r="X55" i="28"/>
  <c r="Y55" i="28"/>
  <c r="X53" i="28"/>
  <c r="U53" i="28"/>
  <c r="U50" i="28"/>
  <c r="T50" i="28"/>
  <c r="Q50" i="28"/>
  <c r="M50" i="28"/>
  <c r="I50" i="28"/>
  <c r="D50" i="28"/>
  <c r="F50" i="28" s="1"/>
  <c r="R37" i="28"/>
  <c r="P50" i="28"/>
  <c r="N37" i="28"/>
  <c r="V36" i="28"/>
  <c r="Y35" i="28"/>
  <c r="X35" i="28"/>
  <c r="V35" i="28"/>
  <c r="U28" i="28"/>
  <c r="T28" i="28"/>
  <c r="L28" i="28"/>
  <c r="D28" i="28"/>
  <c r="X20" i="28"/>
  <c r="Q20" i="28"/>
  <c r="M20" i="28"/>
  <c r="N20" i="28" s="1"/>
  <c r="P28" i="28"/>
  <c r="I25" i="28"/>
  <c r="X23" i="28"/>
  <c r="I23" i="28"/>
  <c r="Y23" i="28" s="1"/>
  <c r="X22" i="28"/>
  <c r="Q22" i="28"/>
  <c r="Y22" i="28" s="1"/>
  <c r="X21" i="28"/>
  <c r="E28" i="28"/>
  <c r="X19" i="28"/>
  <c r="V19" i="28"/>
  <c r="Q19" i="28"/>
  <c r="R19" i="28" s="1"/>
  <c r="X18" i="28"/>
  <c r="V18" i="28"/>
  <c r="Q18" i="28"/>
  <c r="R18" i="28" s="1"/>
  <c r="U15" i="28"/>
  <c r="T15" i="28"/>
  <c r="P15" i="28"/>
  <c r="L15" i="28"/>
  <c r="H15" i="28"/>
  <c r="D15" i="28"/>
  <c r="X14" i="28"/>
  <c r="N14" i="28"/>
  <c r="J14" i="28"/>
  <c r="X12" i="28"/>
  <c r="J12" i="28"/>
  <c r="Y11" i="28"/>
  <c r="X11" i="28"/>
  <c r="R11" i="28"/>
  <c r="N11" i="28"/>
  <c r="J11" i="28"/>
  <c r="F11" i="28"/>
  <c r="X10" i="28"/>
  <c r="N10" i="28"/>
  <c r="J10" i="28"/>
  <c r="Y29" i="26" l="1"/>
  <c r="V53" i="28"/>
  <c r="U57" i="28"/>
  <c r="V57" i="28" s="1"/>
  <c r="Z65" i="28"/>
  <c r="Z18" i="28"/>
  <c r="N66" i="28"/>
  <c r="D88" i="28"/>
  <c r="U88" i="28"/>
  <c r="V66" i="28"/>
  <c r="V28" i="28"/>
  <c r="X57" i="28"/>
  <c r="H88" i="28"/>
  <c r="N50" i="28"/>
  <c r="J25" i="28"/>
  <c r="Z25" i="28" s="1"/>
  <c r="Y25" i="28"/>
  <c r="R14" i="28"/>
  <c r="V15" i="28"/>
  <c r="Z19" i="28"/>
  <c r="Y53" i="28"/>
  <c r="Y57" i="28" s="1"/>
  <c r="L88" i="28"/>
  <c r="V50" i="28"/>
  <c r="M86" i="28"/>
  <c r="N86" i="28" s="1"/>
  <c r="R50" i="28"/>
  <c r="R66" i="28"/>
  <c r="Y18" i="28"/>
  <c r="J86" i="28"/>
  <c r="T86" i="28"/>
  <c r="V86" i="28" s="1"/>
  <c r="Z11" i="28"/>
  <c r="X66" i="28"/>
  <c r="R75" i="28"/>
  <c r="Z55" i="28"/>
  <c r="F15" i="28"/>
  <c r="F66" i="28"/>
  <c r="Y74" i="28"/>
  <c r="Q80" i="28"/>
  <c r="Q86" i="28" s="1"/>
  <c r="J50" i="28"/>
  <c r="J75" i="28"/>
  <c r="X77" i="28"/>
  <c r="Y19" i="28"/>
  <c r="Z35" i="28"/>
  <c r="Y66" i="28"/>
  <c r="I77" i="28"/>
  <c r="J77" i="28" s="1"/>
  <c r="N75" i="28"/>
  <c r="F86" i="28"/>
  <c r="Y10" i="28"/>
  <c r="M15" i="28"/>
  <c r="N15" i="28" s="1"/>
  <c r="I28" i="28"/>
  <c r="J28" i="28" s="1"/>
  <c r="M77" i="28"/>
  <c r="V80" i="28"/>
  <c r="F14" i="28"/>
  <c r="V77" i="28"/>
  <c r="X50" i="28"/>
  <c r="J29" i="26"/>
  <c r="Z29" i="26" s="1"/>
  <c r="R22" i="28"/>
  <c r="Z22" i="28" s="1"/>
  <c r="F28" i="28"/>
  <c r="R20" i="28"/>
  <c r="Z20" i="28" s="1"/>
  <c r="Y20" i="28"/>
  <c r="X28" i="28"/>
  <c r="N12" i="28"/>
  <c r="X15" i="28"/>
  <c r="R12" i="28"/>
  <c r="Q28" i="28"/>
  <c r="E77" i="28"/>
  <c r="F77" i="28" s="1"/>
  <c r="F10" i="28"/>
  <c r="Y21" i="28"/>
  <c r="J23" i="28"/>
  <c r="Z23" i="28" s="1"/>
  <c r="M28" i="28"/>
  <c r="N28" i="28" s="1"/>
  <c r="J74" i="28"/>
  <c r="P86" i="28"/>
  <c r="F21" i="28"/>
  <c r="Z21" i="28" s="1"/>
  <c r="J66" i="28"/>
  <c r="F74" i="28"/>
  <c r="Y50" i="28"/>
  <c r="Q76" i="28"/>
  <c r="R76" i="28" s="1"/>
  <c r="F12" i="28"/>
  <c r="I15" i="28"/>
  <c r="J15" i="28" s="1"/>
  <c r="F76" i="28"/>
  <c r="H39" i="25"/>
  <c r="Q49" i="25"/>
  <c r="P37" i="25"/>
  <c r="X50" i="25"/>
  <c r="D53" i="25"/>
  <c r="I53" i="25"/>
  <c r="H53" i="25"/>
  <c r="M53" i="25"/>
  <c r="L53" i="25"/>
  <c r="Q50" i="25"/>
  <c r="R50" i="25" s="1"/>
  <c r="X51" i="25"/>
  <c r="Q51" i="25"/>
  <c r="Y51" i="25" s="1"/>
  <c r="P41" i="25"/>
  <c r="R49" i="25" l="1"/>
  <c r="Y49" i="25"/>
  <c r="Z49" i="25" s="1"/>
  <c r="Z14" i="28"/>
  <c r="Z53" i="28"/>
  <c r="R10" i="28"/>
  <c r="Z10" i="28" s="1"/>
  <c r="Y14" i="28"/>
  <c r="M88" i="28"/>
  <c r="N88" i="28" s="1"/>
  <c r="Z57" i="28"/>
  <c r="Q53" i="25"/>
  <c r="Y50" i="25"/>
  <c r="Z50" i="25" s="1"/>
  <c r="T88" i="28"/>
  <c r="V88" i="28" s="1"/>
  <c r="X86" i="28"/>
  <c r="N77" i="28"/>
  <c r="Y75" i="28"/>
  <c r="Z66" i="28"/>
  <c r="Z75" i="28"/>
  <c r="R74" i="28"/>
  <c r="Z74" i="28" s="1"/>
  <c r="Z50" i="28"/>
  <c r="R80" i="28"/>
  <c r="Z80" i="28" s="1"/>
  <c r="Y80" i="28"/>
  <c r="Y28" i="28"/>
  <c r="I88" i="28"/>
  <c r="J88" i="28" s="1"/>
  <c r="R28" i="28"/>
  <c r="Z28" i="28" s="1"/>
  <c r="Y76" i="28"/>
  <c r="Y12" i="28"/>
  <c r="Z76" i="28"/>
  <c r="E113" i="28" s="1"/>
  <c r="Q77" i="28"/>
  <c r="Q15" i="28"/>
  <c r="Y15" i="28" s="1"/>
  <c r="Y86" i="28"/>
  <c r="E88" i="28"/>
  <c r="P88" i="28"/>
  <c r="Z12" i="28"/>
  <c r="Z51" i="25"/>
  <c r="R51" i="25"/>
  <c r="E52" i="25"/>
  <c r="E53" i="25" s="1"/>
  <c r="X52" i="25"/>
  <c r="X48" i="25"/>
  <c r="V48" i="25"/>
  <c r="E14" i="25"/>
  <c r="I14" i="25"/>
  <c r="M14" i="25"/>
  <c r="M10" i="25"/>
  <c r="I10" i="25"/>
  <c r="E10" i="25"/>
  <c r="M11" i="25"/>
  <c r="I11" i="25"/>
  <c r="E11" i="25"/>
  <c r="E112" i="28" l="1"/>
  <c r="Q10" i="25"/>
  <c r="Y48" i="25"/>
  <c r="Z48" i="25" s="1"/>
  <c r="Q11" i="25"/>
  <c r="F52" i="25"/>
  <c r="Y52" i="25"/>
  <c r="Z52" i="25" s="1"/>
  <c r="F88" i="28"/>
  <c r="X88" i="28"/>
  <c r="R86" i="28"/>
  <c r="Z86" i="28" s="1"/>
  <c r="Q88" i="28"/>
  <c r="R88" i="28" s="1"/>
  <c r="R77" i="28"/>
  <c r="Z77" i="28" s="1"/>
  <c r="Y77" i="28"/>
  <c r="R15" i="28"/>
  <c r="Z15" i="28" s="1"/>
  <c r="Q14" i="25"/>
  <c r="P24" i="26"/>
  <c r="Z88" i="28" l="1"/>
  <c r="Y88" i="28"/>
  <c r="I24" i="26"/>
  <c r="J24" i="26" s="1"/>
  <c r="H25" i="26"/>
  <c r="D25" i="26"/>
  <c r="Q24" i="26"/>
  <c r="R24" i="26" s="1"/>
  <c r="X24" i="26"/>
  <c r="X23" i="26"/>
  <c r="X22" i="26"/>
  <c r="X21" i="26"/>
  <c r="I23" i="26"/>
  <c r="J23" i="26" s="1"/>
  <c r="Z23" i="26" s="1"/>
  <c r="Q22" i="26"/>
  <c r="R22" i="26" s="1"/>
  <c r="Z22" i="26" s="1"/>
  <c r="E21" i="26"/>
  <c r="Y21" i="26" s="1"/>
  <c r="Y23" i="26" l="1"/>
  <c r="F21" i="26"/>
  <c r="Z21" i="26" s="1"/>
  <c r="Y22" i="26"/>
  <c r="Z24" i="26"/>
  <c r="Y24" i="26"/>
  <c r="E48" i="24"/>
  <c r="F48" i="24" s="1"/>
  <c r="X47" i="24"/>
  <c r="V47" i="24"/>
  <c r="Q47" i="24"/>
  <c r="R47" i="24" s="1"/>
  <c r="Y47" i="24" l="1"/>
  <c r="Z47" i="24" s="1"/>
  <c r="P20" i="26"/>
  <c r="P25" i="26" s="1"/>
  <c r="F42" i="25"/>
  <c r="Y38" i="25"/>
  <c r="X38" i="25"/>
  <c r="Y41" i="25"/>
  <c r="X41" i="25"/>
  <c r="Y37" i="25"/>
  <c r="X37" i="25"/>
  <c r="Y40" i="25"/>
  <c r="X40" i="25"/>
  <c r="Y36" i="25"/>
  <c r="X36" i="25"/>
  <c r="R36" i="25"/>
  <c r="R38" i="25"/>
  <c r="R41" i="25"/>
  <c r="R37" i="25"/>
  <c r="R40" i="25"/>
  <c r="Q21" i="25"/>
  <c r="Q25" i="25"/>
  <c r="Q22" i="25"/>
  <c r="Q24" i="25"/>
  <c r="J43" i="25"/>
  <c r="J39" i="25"/>
  <c r="J34" i="25"/>
  <c r="M12" i="25"/>
  <c r="I12" i="25"/>
  <c r="E12" i="25"/>
  <c r="Z40" i="25" l="1"/>
  <c r="Z36" i="25"/>
  <c r="Z37" i="25"/>
  <c r="Z38" i="25"/>
  <c r="Z41" i="25"/>
  <c r="Q12" i="25"/>
  <c r="M14" i="24"/>
  <c r="I14" i="24"/>
  <c r="E14" i="24"/>
  <c r="M10" i="24"/>
  <c r="I10" i="24"/>
  <c r="E10" i="24"/>
  <c r="Q10" i="24" l="1"/>
  <c r="Q14" i="24"/>
  <c r="Q49" i="24"/>
  <c r="Y27" i="25"/>
  <c r="Y26" i="25"/>
  <c r="Y24" i="25"/>
  <c r="Y21" i="25"/>
  <c r="Y25" i="25"/>
  <c r="Y22" i="25"/>
  <c r="Y23" i="25"/>
  <c r="X27" i="25"/>
  <c r="X26" i="25"/>
  <c r="X24" i="25"/>
  <c r="X21" i="25"/>
  <c r="X25" i="25"/>
  <c r="X22" i="25"/>
  <c r="X23" i="25"/>
  <c r="R21" i="25" l="1"/>
  <c r="Z21" i="25" s="1"/>
  <c r="R24" i="25"/>
  <c r="Z24" i="25" s="1"/>
  <c r="F26" i="25"/>
  <c r="Z26" i="25" s="1"/>
  <c r="R22" i="25"/>
  <c r="Z22" i="25" s="1"/>
  <c r="R25" i="25"/>
  <c r="Z25" i="25" s="1"/>
  <c r="J27" i="25"/>
  <c r="Z27" i="25" s="1"/>
  <c r="J23" i="25"/>
  <c r="Z23" i="25" s="1"/>
  <c r="N95" i="26" l="1"/>
  <c r="F95" i="26"/>
  <c r="U77" i="26"/>
  <c r="L77" i="26"/>
  <c r="I77" i="26"/>
  <c r="H77" i="26"/>
  <c r="E77" i="26"/>
  <c r="D77" i="26"/>
  <c r="X76" i="26"/>
  <c r="M76" i="26"/>
  <c r="M77" i="26" s="1"/>
  <c r="T75" i="26"/>
  <c r="T77" i="26" s="1"/>
  <c r="V77" i="26" s="1"/>
  <c r="U72" i="26"/>
  <c r="T72" i="26"/>
  <c r="P72" i="26"/>
  <c r="L72" i="26"/>
  <c r="H72" i="26"/>
  <c r="D72" i="26"/>
  <c r="X71" i="26"/>
  <c r="M71" i="26"/>
  <c r="I71" i="26"/>
  <c r="J71" i="26" s="1"/>
  <c r="E71" i="26"/>
  <c r="F71" i="26" s="1"/>
  <c r="X70" i="26"/>
  <c r="M70" i="26"/>
  <c r="N70" i="26" s="1"/>
  <c r="I70" i="26"/>
  <c r="J70" i="26" s="1"/>
  <c r="E70" i="26"/>
  <c r="X69" i="26"/>
  <c r="M69" i="26"/>
  <c r="I69" i="26"/>
  <c r="J69" i="26" s="1"/>
  <c r="E69" i="26"/>
  <c r="U61" i="26"/>
  <c r="T61" i="26"/>
  <c r="Q61" i="26"/>
  <c r="P61" i="26"/>
  <c r="M61" i="26"/>
  <c r="L61" i="26"/>
  <c r="I61" i="26"/>
  <c r="H61" i="26"/>
  <c r="E61" i="26"/>
  <c r="D61" i="26"/>
  <c r="Y60" i="26"/>
  <c r="X60" i="26"/>
  <c r="V60" i="26"/>
  <c r="R60" i="26"/>
  <c r="N60" i="26"/>
  <c r="J60" i="26"/>
  <c r="F60" i="26"/>
  <c r="X48" i="26"/>
  <c r="X47" i="26"/>
  <c r="U47" i="26"/>
  <c r="Y47" i="26" s="1"/>
  <c r="U44" i="26"/>
  <c r="Q44" i="26"/>
  <c r="M44" i="26"/>
  <c r="I44" i="26"/>
  <c r="H44" i="26"/>
  <c r="E44" i="26"/>
  <c r="D44" i="26"/>
  <c r="Y34" i="26"/>
  <c r="X34" i="26"/>
  <c r="N34" i="26"/>
  <c r="Y33" i="26"/>
  <c r="X33" i="26"/>
  <c r="V33" i="26"/>
  <c r="Y32" i="26"/>
  <c r="X32" i="26"/>
  <c r="V32" i="26"/>
  <c r="U25" i="26"/>
  <c r="L25" i="26"/>
  <c r="I25" i="26"/>
  <c r="E25" i="26"/>
  <c r="X20" i="26"/>
  <c r="M20" i="26"/>
  <c r="M25" i="26" s="1"/>
  <c r="T25" i="26"/>
  <c r="X18" i="26"/>
  <c r="V18" i="26"/>
  <c r="Q18" i="26"/>
  <c r="Y18" i="26" s="1"/>
  <c r="U15" i="26"/>
  <c r="T15" i="26"/>
  <c r="P15" i="26"/>
  <c r="L15" i="26"/>
  <c r="H15" i="26"/>
  <c r="D15" i="26"/>
  <c r="X14" i="26"/>
  <c r="N14" i="26"/>
  <c r="J14" i="26"/>
  <c r="X12" i="26"/>
  <c r="N12" i="26"/>
  <c r="J12" i="26"/>
  <c r="Y11" i="26"/>
  <c r="X11" i="26"/>
  <c r="R11" i="26"/>
  <c r="N11" i="26"/>
  <c r="J11" i="26"/>
  <c r="F11" i="26"/>
  <c r="X10" i="26"/>
  <c r="N10" i="26"/>
  <c r="J10" i="26"/>
  <c r="V48" i="26" l="1"/>
  <c r="U55" i="26"/>
  <c r="V55" i="26" s="1"/>
  <c r="V44" i="26"/>
  <c r="Z34" i="26"/>
  <c r="J77" i="26"/>
  <c r="V61" i="26"/>
  <c r="Z32" i="26"/>
  <c r="V15" i="26"/>
  <c r="X19" i="26"/>
  <c r="E72" i="26"/>
  <c r="E79" i="26" s="1"/>
  <c r="R61" i="26"/>
  <c r="X55" i="26"/>
  <c r="Z11" i="26"/>
  <c r="V72" i="26"/>
  <c r="J25" i="26"/>
  <c r="V25" i="26"/>
  <c r="N44" i="26"/>
  <c r="F55" i="26"/>
  <c r="F61" i="26"/>
  <c r="X15" i="26"/>
  <c r="X75" i="26"/>
  <c r="X72" i="26"/>
  <c r="P77" i="26"/>
  <c r="X77" i="26" s="1"/>
  <c r="V47" i="26"/>
  <c r="Z33" i="26"/>
  <c r="N55" i="26"/>
  <c r="X61" i="26"/>
  <c r="Y61" i="26"/>
  <c r="R55" i="26"/>
  <c r="M72" i="26"/>
  <c r="N72" i="26" s="1"/>
  <c r="T79" i="26"/>
  <c r="L79" i="26"/>
  <c r="R12" i="26"/>
  <c r="F44" i="26"/>
  <c r="Z60" i="26"/>
  <c r="Q71" i="26"/>
  <c r="R71" i="26" s="1"/>
  <c r="U79" i="26"/>
  <c r="Y10" i="26"/>
  <c r="M15" i="26"/>
  <c r="Q19" i="26"/>
  <c r="Y19" i="26" s="1"/>
  <c r="Q70" i="26"/>
  <c r="R70" i="26" s="1"/>
  <c r="J44" i="26"/>
  <c r="J55" i="26"/>
  <c r="Q75" i="26"/>
  <c r="Y75" i="26" s="1"/>
  <c r="J61" i="26"/>
  <c r="N77" i="26"/>
  <c r="N25" i="26"/>
  <c r="Z47" i="26"/>
  <c r="N71" i="26"/>
  <c r="Y44" i="26"/>
  <c r="N61" i="26"/>
  <c r="F70" i="26"/>
  <c r="F77" i="26"/>
  <c r="D79" i="26"/>
  <c r="Q20" i="26"/>
  <c r="P44" i="26"/>
  <c r="N69" i="26"/>
  <c r="I72" i="26"/>
  <c r="I79" i="26" s="1"/>
  <c r="Q76" i="26"/>
  <c r="R76" i="26" s="1"/>
  <c r="F12" i="26"/>
  <c r="R14" i="26"/>
  <c r="R18" i="26"/>
  <c r="Z18" i="26" s="1"/>
  <c r="V19" i="26"/>
  <c r="Y48" i="26"/>
  <c r="Z48" i="26" s="1"/>
  <c r="Q69" i="26"/>
  <c r="V75" i="26"/>
  <c r="N20" i="26"/>
  <c r="N76" i="26"/>
  <c r="F10" i="26"/>
  <c r="H79" i="26"/>
  <c r="X44" i="26"/>
  <c r="R34" i="26"/>
  <c r="E15" i="26"/>
  <c r="F25" i="26"/>
  <c r="I15" i="26"/>
  <c r="F14" i="26"/>
  <c r="F69" i="26"/>
  <c r="P33" i="25"/>
  <c r="P20" i="25"/>
  <c r="P74" i="25"/>
  <c r="R44" i="26" l="1"/>
  <c r="N15" i="26"/>
  <c r="J15" i="26"/>
  <c r="F15" i="26"/>
  <c r="X25" i="26"/>
  <c r="F72" i="26"/>
  <c r="P79" i="26"/>
  <c r="X79" i="26" s="1"/>
  <c r="Y71" i="26"/>
  <c r="Z14" i="26"/>
  <c r="R10" i="26"/>
  <c r="Z10" i="26" s="1"/>
  <c r="J72" i="26"/>
  <c r="R75" i="26"/>
  <c r="Z75" i="26" s="1"/>
  <c r="Z71" i="26"/>
  <c r="Y70" i="26"/>
  <c r="M79" i="26"/>
  <c r="N79" i="26" s="1"/>
  <c r="Y14" i="26"/>
  <c r="Y12" i="26"/>
  <c r="Z12" i="26"/>
  <c r="Z70" i="26"/>
  <c r="V79" i="26"/>
  <c r="R19" i="26"/>
  <c r="Z19" i="26" s="1"/>
  <c r="Q25" i="26"/>
  <c r="Y25" i="26" s="1"/>
  <c r="Z61" i="26"/>
  <c r="Q72" i="26"/>
  <c r="Y72" i="26" s="1"/>
  <c r="R69" i="26"/>
  <c r="Z69" i="26" s="1"/>
  <c r="Y55" i="26"/>
  <c r="Z55" i="26" s="1"/>
  <c r="Y20" i="26"/>
  <c r="Z76" i="26"/>
  <c r="R20" i="26"/>
  <c r="Z20" i="26" s="1"/>
  <c r="Q77" i="26"/>
  <c r="Y69" i="26"/>
  <c r="Y76" i="26"/>
  <c r="F79" i="26"/>
  <c r="Z44" i="26"/>
  <c r="J79" i="26"/>
  <c r="Q15" i="26"/>
  <c r="M12" i="24"/>
  <c r="I12" i="24"/>
  <c r="E12" i="24"/>
  <c r="Q12" i="24" l="1"/>
  <c r="R25" i="26"/>
  <c r="Z25" i="26" s="1"/>
  <c r="R15" i="26"/>
  <c r="Z15" i="26" s="1"/>
  <c r="Y15" i="26"/>
  <c r="Y77" i="26"/>
  <c r="R77" i="26"/>
  <c r="Z77" i="26" s="1"/>
  <c r="Q79" i="26"/>
  <c r="R72" i="26"/>
  <c r="Z72" i="26" s="1"/>
  <c r="D43" i="24"/>
  <c r="R42" i="24"/>
  <c r="Y42" i="24"/>
  <c r="X42" i="24"/>
  <c r="E30" i="24"/>
  <c r="D30" i="24"/>
  <c r="I30" i="24"/>
  <c r="H30" i="24"/>
  <c r="M30" i="24"/>
  <c r="L30" i="24"/>
  <c r="P30" i="24"/>
  <c r="U30" i="24"/>
  <c r="T30" i="24"/>
  <c r="X29" i="24"/>
  <c r="Q29" i="24"/>
  <c r="R29" i="24" s="1"/>
  <c r="Z29" i="24" s="1"/>
  <c r="N30" i="24" l="1"/>
  <c r="F30" i="24"/>
  <c r="J30" i="24"/>
  <c r="Y29" i="24"/>
  <c r="Q30" i="24"/>
  <c r="R30" i="24" s="1"/>
  <c r="Y79" i="26"/>
  <c r="R79" i="26"/>
  <c r="Z79" i="26" s="1"/>
  <c r="Z42" i="24"/>
  <c r="X30" i="24"/>
  <c r="V30" i="24"/>
  <c r="J36" i="24"/>
  <c r="Y30" i="24" l="1"/>
  <c r="Z30" i="24"/>
  <c r="N93" i="25"/>
  <c r="J93" i="25"/>
  <c r="F93" i="25"/>
  <c r="U75" i="25"/>
  <c r="P75" i="25"/>
  <c r="L75" i="25"/>
  <c r="I75" i="25"/>
  <c r="H75" i="25"/>
  <c r="E75" i="25"/>
  <c r="D75" i="25"/>
  <c r="X74" i="25"/>
  <c r="Q74" i="25"/>
  <c r="R74" i="25" s="1"/>
  <c r="M74" i="25"/>
  <c r="M75" i="25" s="1"/>
  <c r="T73" i="25"/>
  <c r="T75" i="25" s="1"/>
  <c r="V75" i="25" s="1"/>
  <c r="U70" i="25"/>
  <c r="T70" i="25"/>
  <c r="P70" i="25"/>
  <c r="L70" i="25"/>
  <c r="H70" i="25"/>
  <c r="D70" i="25"/>
  <c r="X69" i="25"/>
  <c r="M69" i="25"/>
  <c r="N69" i="25" s="1"/>
  <c r="I69" i="25"/>
  <c r="J69" i="25" s="1"/>
  <c r="E69" i="25"/>
  <c r="X68" i="25"/>
  <c r="R68" i="25"/>
  <c r="X67" i="25"/>
  <c r="M67" i="25"/>
  <c r="N67" i="25" s="1"/>
  <c r="I67" i="25"/>
  <c r="E67" i="25"/>
  <c r="F67" i="25" s="1"/>
  <c r="U59" i="25"/>
  <c r="T59" i="25"/>
  <c r="Q59" i="25"/>
  <c r="P59" i="25"/>
  <c r="M59" i="25"/>
  <c r="L59" i="25"/>
  <c r="I59" i="25"/>
  <c r="H59" i="25"/>
  <c r="E59" i="25"/>
  <c r="D59" i="25"/>
  <c r="Y58" i="25"/>
  <c r="X58" i="25"/>
  <c r="V58" i="25"/>
  <c r="R58" i="25"/>
  <c r="N58" i="25"/>
  <c r="J58" i="25"/>
  <c r="F58" i="25"/>
  <c r="T53" i="25"/>
  <c r="X47" i="25"/>
  <c r="X53" i="25" s="1"/>
  <c r="Y47" i="25"/>
  <c r="U44" i="25"/>
  <c r="T44" i="25"/>
  <c r="Q44" i="25"/>
  <c r="P44" i="25"/>
  <c r="M44" i="25"/>
  <c r="L44" i="25"/>
  <c r="I44" i="25"/>
  <c r="H44" i="25"/>
  <c r="E44" i="25"/>
  <c r="D44" i="25"/>
  <c r="Y33" i="25"/>
  <c r="X33" i="25"/>
  <c r="N33" i="25"/>
  <c r="Y42" i="25"/>
  <c r="X42" i="25"/>
  <c r="Y43" i="25"/>
  <c r="X43" i="25"/>
  <c r="Y39" i="25"/>
  <c r="X39" i="25"/>
  <c r="Y34" i="25"/>
  <c r="X34" i="25"/>
  <c r="Y32" i="25"/>
  <c r="X32" i="25"/>
  <c r="V32" i="25"/>
  <c r="Y31" i="25"/>
  <c r="X31" i="25"/>
  <c r="V31" i="25"/>
  <c r="U28" i="25"/>
  <c r="H28" i="25"/>
  <c r="D28" i="25"/>
  <c r="X20" i="25"/>
  <c r="Q20" i="25"/>
  <c r="R20" i="25" s="1"/>
  <c r="M20" i="25"/>
  <c r="M28" i="25" s="1"/>
  <c r="E28" i="25"/>
  <c r="L28" i="25"/>
  <c r="T19" i="25"/>
  <c r="X19" i="25" s="1"/>
  <c r="X18" i="25"/>
  <c r="V18" i="25"/>
  <c r="Q18" i="25"/>
  <c r="R18" i="25" s="1"/>
  <c r="U15" i="25"/>
  <c r="T15" i="25"/>
  <c r="P15" i="25"/>
  <c r="L15" i="25"/>
  <c r="H15" i="25"/>
  <c r="D15" i="25"/>
  <c r="X14" i="25"/>
  <c r="N14" i="25"/>
  <c r="F14" i="25"/>
  <c r="X12" i="25"/>
  <c r="Y11" i="25"/>
  <c r="X11" i="25"/>
  <c r="R11" i="25"/>
  <c r="N11" i="25"/>
  <c r="J11" i="25"/>
  <c r="F11" i="25"/>
  <c r="X10" i="25"/>
  <c r="N10" i="25"/>
  <c r="J12" i="25"/>
  <c r="N59" i="25" l="1"/>
  <c r="Y10" i="25"/>
  <c r="V59" i="25"/>
  <c r="Z42" i="25"/>
  <c r="U77" i="25"/>
  <c r="R53" i="25"/>
  <c r="V44" i="25"/>
  <c r="Z31" i="25"/>
  <c r="V15" i="25"/>
  <c r="L77" i="25"/>
  <c r="Z18" i="25"/>
  <c r="Y20" i="25"/>
  <c r="J53" i="25"/>
  <c r="J59" i="25"/>
  <c r="R59" i="25"/>
  <c r="E70" i="25"/>
  <c r="E77" i="25" s="1"/>
  <c r="Y18" i="25"/>
  <c r="Z32" i="25"/>
  <c r="N44" i="25"/>
  <c r="F53" i="25"/>
  <c r="T77" i="25"/>
  <c r="F10" i="25"/>
  <c r="F12" i="25"/>
  <c r="Z43" i="25"/>
  <c r="Z33" i="25"/>
  <c r="N53" i="25"/>
  <c r="Z58" i="25"/>
  <c r="M70" i="25"/>
  <c r="M77" i="25" s="1"/>
  <c r="H77" i="25"/>
  <c r="Z11" i="25"/>
  <c r="M15" i="25"/>
  <c r="N15" i="25" s="1"/>
  <c r="R14" i="25"/>
  <c r="U53" i="25"/>
  <c r="V53" i="25" s="1"/>
  <c r="F59" i="25"/>
  <c r="F44" i="25"/>
  <c r="I70" i="25"/>
  <c r="J70" i="25" s="1"/>
  <c r="X70" i="25"/>
  <c r="P77" i="25"/>
  <c r="Z39" i="25"/>
  <c r="R44" i="25"/>
  <c r="N28" i="25"/>
  <c r="Y44" i="25"/>
  <c r="J44" i="25"/>
  <c r="Z34" i="25"/>
  <c r="I28" i="25"/>
  <c r="J28" i="25" s="1"/>
  <c r="Z47" i="25"/>
  <c r="X75" i="25"/>
  <c r="N75" i="25"/>
  <c r="I15" i="25"/>
  <c r="J15" i="25" s="1"/>
  <c r="N12" i="25"/>
  <c r="X15" i="25"/>
  <c r="N20" i="25"/>
  <c r="Z20" i="25" s="1"/>
  <c r="P28" i="25"/>
  <c r="X44" i="25"/>
  <c r="X59" i="25"/>
  <c r="J67" i="25"/>
  <c r="Q73" i="25"/>
  <c r="N74" i="25"/>
  <c r="Z74" i="25" s="1"/>
  <c r="J14" i="25"/>
  <c r="Q19" i="25"/>
  <c r="Q28" i="25" s="1"/>
  <c r="F28" i="25"/>
  <c r="Y59" i="25"/>
  <c r="F68" i="25"/>
  <c r="Y68" i="25"/>
  <c r="Q69" i="25"/>
  <c r="R69" i="25" s="1"/>
  <c r="F75" i="25"/>
  <c r="D77" i="25"/>
  <c r="T28" i="25"/>
  <c r="V28" i="25" s="1"/>
  <c r="Q67" i="25"/>
  <c r="J68" i="25"/>
  <c r="V73" i="25"/>
  <c r="J10" i="25"/>
  <c r="V19" i="25"/>
  <c r="F69" i="25"/>
  <c r="V70" i="25"/>
  <c r="X73" i="25"/>
  <c r="J75" i="25"/>
  <c r="E15" i="25"/>
  <c r="R33" i="25"/>
  <c r="N68" i="25"/>
  <c r="Y74" i="25"/>
  <c r="R36" i="24"/>
  <c r="Y28" i="25" l="1"/>
  <c r="R10" i="25"/>
  <c r="Z10" i="25" s="1"/>
  <c r="X28" i="25"/>
  <c r="Y53" i="25"/>
  <c r="Z53" i="25" s="1"/>
  <c r="N77" i="25"/>
  <c r="V77" i="25"/>
  <c r="Z14" i="25"/>
  <c r="Y14" i="25"/>
  <c r="I77" i="25"/>
  <c r="J77" i="25" s="1"/>
  <c r="N70" i="25"/>
  <c r="F70" i="25"/>
  <c r="R12" i="25"/>
  <c r="Z12" i="25" s="1"/>
  <c r="Z44" i="25"/>
  <c r="R28" i="25"/>
  <c r="Z28" i="25" s="1"/>
  <c r="Z68" i="25"/>
  <c r="Y69" i="25"/>
  <c r="Z69" i="25"/>
  <c r="R67" i="25"/>
  <c r="Z67" i="25" s="1"/>
  <c r="Q70" i="25"/>
  <c r="Y73" i="25"/>
  <c r="Q75" i="25"/>
  <c r="R73" i="25"/>
  <c r="Z73" i="25" s="1"/>
  <c r="Y67" i="25"/>
  <c r="F15" i="25"/>
  <c r="F77" i="25"/>
  <c r="X77" i="25"/>
  <c r="Y19" i="25"/>
  <c r="R19" i="25"/>
  <c r="Z19" i="25" s="1"/>
  <c r="Z59" i="25"/>
  <c r="X36" i="24"/>
  <c r="Y36" i="24"/>
  <c r="P22" i="24"/>
  <c r="P23" i="24"/>
  <c r="Y12" i="25" l="1"/>
  <c r="Q15" i="25"/>
  <c r="R15" i="25" s="1"/>
  <c r="Z15" i="25" s="1"/>
  <c r="Z36" i="24"/>
  <c r="R75" i="25"/>
  <c r="Z75" i="25" s="1"/>
  <c r="Y75" i="25"/>
  <c r="Q77" i="25"/>
  <c r="Y70" i="25"/>
  <c r="R70" i="25"/>
  <c r="Z70" i="25" s="1"/>
  <c r="I21" i="24"/>
  <c r="Y21" i="24" s="1"/>
  <c r="X21" i="24"/>
  <c r="L20" i="24"/>
  <c r="R91" i="24"/>
  <c r="X47" i="23"/>
  <c r="X46" i="23"/>
  <c r="U50" i="23"/>
  <c r="T50" i="23"/>
  <c r="L50" i="23"/>
  <c r="I50" i="23"/>
  <c r="H50" i="23"/>
  <c r="E50" i="23"/>
  <c r="D50" i="23"/>
  <c r="P48" i="23"/>
  <c r="Q48" i="23" s="1"/>
  <c r="R48" i="23" s="1"/>
  <c r="Q47" i="23"/>
  <c r="R47" i="23" s="1"/>
  <c r="M46" i="23"/>
  <c r="M50" i="23" s="1"/>
  <c r="U71" i="23"/>
  <c r="L71" i="23"/>
  <c r="H71" i="23"/>
  <c r="D71" i="23"/>
  <c r="Q67" i="23"/>
  <c r="R67" i="23" s="1"/>
  <c r="M67" i="23"/>
  <c r="N67" i="23" s="1"/>
  <c r="Q68" i="23"/>
  <c r="Y68" i="23" s="1"/>
  <c r="X70" i="23"/>
  <c r="X69" i="23"/>
  <c r="X68" i="23"/>
  <c r="X67" i="23"/>
  <c r="X66" i="23"/>
  <c r="Q69" i="23"/>
  <c r="R69" i="23" s="1"/>
  <c r="Z69" i="23" s="1"/>
  <c r="T64" i="23"/>
  <c r="T71" i="23" s="1"/>
  <c r="E70" i="23"/>
  <c r="F70" i="23" s="1"/>
  <c r="Z70" i="23" s="1"/>
  <c r="I66" i="23"/>
  <c r="J66" i="23" s="1"/>
  <c r="Z66" i="23" s="1"/>
  <c r="M59" i="23"/>
  <c r="I59" i="23"/>
  <c r="E59" i="23"/>
  <c r="M58" i="23"/>
  <c r="I58" i="23"/>
  <c r="E58" i="23"/>
  <c r="X39" i="23"/>
  <c r="E39" i="23"/>
  <c r="E41" i="23" s="1"/>
  <c r="D31" i="23"/>
  <c r="D33" i="23" s="1"/>
  <c r="U41" i="23"/>
  <c r="H41" i="23"/>
  <c r="M41" i="23"/>
  <c r="L41" i="23"/>
  <c r="X40" i="23"/>
  <c r="Q40" i="23"/>
  <c r="Y40" i="23" s="1"/>
  <c r="T18" i="23"/>
  <c r="T36" i="23" s="1"/>
  <c r="T19" i="23"/>
  <c r="T37" i="23" s="1"/>
  <c r="Q37" i="23" s="1"/>
  <c r="M10" i="23"/>
  <c r="I10" i="23"/>
  <c r="E10" i="23"/>
  <c r="M14" i="23"/>
  <c r="I14" i="23"/>
  <c r="E14" i="23"/>
  <c r="M11" i="23"/>
  <c r="I11" i="23"/>
  <c r="E11" i="23"/>
  <c r="Y46" i="23" l="1"/>
  <c r="Z46" i="23" s="1"/>
  <c r="J50" i="23"/>
  <c r="Y15" i="25"/>
  <c r="J21" i="24"/>
  <c r="Z21" i="24" s="1"/>
  <c r="V71" i="23"/>
  <c r="R77" i="25"/>
  <c r="Z77" i="25" s="1"/>
  <c r="Y77" i="25"/>
  <c r="P71" i="23"/>
  <c r="Y66" i="23"/>
  <c r="X48" i="23"/>
  <c r="Y70" i="23"/>
  <c r="E71" i="23"/>
  <c r="P50" i="23"/>
  <c r="Q71" i="23"/>
  <c r="Q58" i="23"/>
  <c r="I71" i="23"/>
  <c r="J71" i="23" s="1"/>
  <c r="N46" i="23"/>
  <c r="Y47" i="23"/>
  <c r="Z47" i="23" s="1"/>
  <c r="Q59" i="23"/>
  <c r="Q50" i="23"/>
  <c r="Y69" i="23"/>
  <c r="M71" i="23"/>
  <c r="N71" i="23" s="1"/>
  <c r="V50" i="23"/>
  <c r="Y48" i="23"/>
  <c r="P41" i="23"/>
  <c r="N50" i="23"/>
  <c r="Z67" i="23"/>
  <c r="Y67" i="23"/>
  <c r="R68" i="23"/>
  <c r="Z68" i="23" s="1"/>
  <c r="Y39" i="23"/>
  <c r="Z39" i="23" s="1"/>
  <c r="F39" i="23"/>
  <c r="T41" i="23"/>
  <c r="V41" i="23" s="1"/>
  <c r="Q10" i="23"/>
  <c r="N41" i="23"/>
  <c r="I41" i="23"/>
  <c r="J41" i="23" s="1"/>
  <c r="F41" i="23"/>
  <c r="Q14" i="23"/>
  <c r="R40" i="23"/>
  <c r="Z40" i="23"/>
  <c r="Q11" i="23"/>
  <c r="Q36" i="23"/>
  <c r="R36" i="23" s="1"/>
  <c r="R37" i="23"/>
  <c r="J89" i="24"/>
  <c r="X23" i="24"/>
  <c r="Q23" i="24"/>
  <c r="R23" i="24" s="1"/>
  <c r="Z23" i="24" s="1"/>
  <c r="R39" i="24"/>
  <c r="X39" i="24"/>
  <c r="Y39" i="24"/>
  <c r="Y40" i="24"/>
  <c r="X37" i="24"/>
  <c r="Y37" i="24"/>
  <c r="Y38" i="24"/>
  <c r="X40" i="24"/>
  <c r="X41" i="24"/>
  <c r="Y41" i="24"/>
  <c r="L38" i="24"/>
  <c r="X38" i="24" s="1"/>
  <c r="R38" i="24"/>
  <c r="J37" i="24"/>
  <c r="F41" i="24"/>
  <c r="X25" i="24"/>
  <c r="E25" i="24"/>
  <c r="Y25" i="24" s="1"/>
  <c r="X24" i="24"/>
  <c r="Q24" i="24"/>
  <c r="R24" i="24" s="1"/>
  <c r="Z24" i="24" s="1"/>
  <c r="L22" i="24"/>
  <c r="X22" i="24" s="1"/>
  <c r="Q22" i="24"/>
  <c r="R22" i="24" s="1"/>
  <c r="Z48" i="23" l="1"/>
  <c r="R71" i="23"/>
  <c r="R50" i="23"/>
  <c r="Z40" i="24"/>
  <c r="Y24" i="24"/>
  <c r="Z41" i="24"/>
  <c r="X41" i="23"/>
  <c r="Q41" i="23"/>
  <c r="Y41" i="23" s="1"/>
  <c r="Z37" i="24"/>
  <c r="M22" i="24"/>
  <c r="N22" i="24" s="1"/>
  <c r="Z22" i="24" s="1"/>
  <c r="F25" i="24"/>
  <c r="Z25" i="24" s="1"/>
  <c r="Z38" i="24"/>
  <c r="Y23" i="24"/>
  <c r="Z39" i="24"/>
  <c r="R40" i="24"/>
  <c r="N38" i="24"/>
  <c r="Y22" i="24" l="1"/>
  <c r="E64" i="24" l="1"/>
  <c r="I64" i="24"/>
  <c r="M64" i="24"/>
  <c r="Q64" i="24" l="1"/>
  <c r="P70" i="24"/>
  <c r="P35" i="24"/>
  <c r="P20" i="24"/>
  <c r="T69" i="24" l="1"/>
  <c r="T19" i="24"/>
  <c r="T71" i="24" l="1"/>
  <c r="E63" i="24"/>
  <c r="M63" i="24"/>
  <c r="I63" i="24"/>
  <c r="Q63" i="24" l="1"/>
  <c r="R12" i="24" l="1"/>
  <c r="N89" i="24"/>
  <c r="F89" i="24"/>
  <c r="U71" i="24"/>
  <c r="V71" i="24" s="1"/>
  <c r="L71" i="24"/>
  <c r="I71" i="24"/>
  <c r="H71" i="24"/>
  <c r="E71" i="24"/>
  <c r="D71" i="24"/>
  <c r="P71" i="24"/>
  <c r="M70" i="24"/>
  <c r="N70" i="24" s="1"/>
  <c r="X69" i="24"/>
  <c r="V69" i="24"/>
  <c r="Q69" i="24"/>
  <c r="Y69" i="24" s="1"/>
  <c r="U66" i="24"/>
  <c r="T66" i="24"/>
  <c r="T73" i="24" s="1"/>
  <c r="P66" i="24"/>
  <c r="L66" i="24"/>
  <c r="H66" i="24"/>
  <c r="D66" i="24"/>
  <c r="X65" i="24"/>
  <c r="M65" i="24"/>
  <c r="N65" i="24" s="1"/>
  <c r="I65" i="24"/>
  <c r="J65" i="24" s="1"/>
  <c r="E65" i="24"/>
  <c r="X64" i="24"/>
  <c r="N64" i="24"/>
  <c r="J64" i="24"/>
  <c r="X63" i="24"/>
  <c r="J63" i="24"/>
  <c r="U55" i="24"/>
  <c r="T55" i="24"/>
  <c r="Q55" i="24"/>
  <c r="P55" i="24"/>
  <c r="M55" i="24"/>
  <c r="L55" i="24"/>
  <c r="I55" i="24"/>
  <c r="H55" i="24"/>
  <c r="E55" i="24"/>
  <c r="D55" i="24"/>
  <c r="Y54" i="24"/>
  <c r="X54" i="24"/>
  <c r="V54" i="24"/>
  <c r="R54" i="24"/>
  <c r="N54" i="24"/>
  <c r="J54" i="24"/>
  <c r="F54" i="24"/>
  <c r="T49" i="24"/>
  <c r="P49" i="24"/>
  <c r="M49" i="24"/>
  <c r="L49" i="24"/>
  <c r="I49" i="24"/>
  <c r="H49" i="24"/>
  <c r="E49" i="24"/>
  <c r="D49" i="24"/>
  <c r="X48" i="24"/>
  <c r="Y48" i="24"/>
  <c r="X46" i="24"/>
  <c r="U46" i="24"/>
  <c r="Y46" i="24" s="1"/>
  <c r="U43" i="24"/>
  <c r="Q43" i="24"/>
  <c r="M43" i="24"/>
  <c r="L43" i="24"/>
  <c r="I43" i="24"/>
  <c r="E43" i="24"/>
  <c r="Y35" i="24"/>
  <c r="R35" i="24"/>
  <c r="N35" i="24"/>
  <c r="H43" i="24"/>
  <c r="Y34" i="24"/>
  <c r="X34" i="24"/>
  <c r="Y33" i="24"/>
  <c r="T43" i="24"/>
  <c r="U26" i="24"/>
  <c r="L26" i="24"/>
  <c r="I26" i="24"/>
  <c r="H26" i="24"/>
  <c r="D26" i="24"/>
  <c r="X20" i="24"/>
  <c r="M20" i="24"/>
  <c r="N20" i="24" s="1"/>
  <c r="E26" i="24"/>
  <c r="Q19" i="24"/>
  <c r="X18" i="24"/>
  <c r="U15" i="24"/>
  <c r="T15" i="24"/>
  <c r="P15" i="24"/>
  <c r="L15" i="24"/>
  <c r="H15" i="24"/>
  <c r="D15" i="24"/>
  <c r="X14" i="24"/>
  <c r="N14" i="24"/>
  <c r="J14" i="24"/>
  <c r="X12" i="24"/>
  <c r="N12" i="24"/>
  <c r="J12" i="24"/>
  <c r="Y11" i="24"/>
  <c r="X11" i="24"/>
  <c r="R11" i="24"/>
  <c r="N11" i="24"/>
  <c r="J11" i="24"/>
  <c r="F11" i="24"/>
  <c r="X10" i="24"/>
  <c r="N10" i="24"/>
  <c r="J10" i="24"/>
  <c r="R49" i="24" l="1"/>
  <c r="R55" i="24"/>
  <c r="L73" i="24"/>
  <c r="Q18" i="24"/>
  <c r="Y18" i="24" s="1"/>
  <c r="J49" i="24"/>
  <c r="F71" i="24"/>
  <c r="U73" i="24"/>
  <c r="V73" i="24" s="1"/>
  <c r="Z11" i="24"/>
  <c r="F43" i="24"/>
  <c r="X35" i="24"/>
  <c r="Z35" i="24" s="1"/>
  <c r="Q65" i="24"/>
  <c r="R65" i="24" s="1"/>
  <c r="Y49" i="24"/>
  <c r="N49" i="24"/>
  <c r="M66" i="24"/>
  <c r="N66" i="24" s="1"/>
  <c r="M15" i="24"/>
  <c r="N15" i="24" s="1"/>
  <c r="R64" i="24"/>
  <c r="X15" i="24"/>
  <c r="M26" i="24"/>
  <c r="Z54" i="24"/>
  <c r="V15" i="24"/>
  <c r="P26" i="24"/>
  <c r="F49" i="24"/>
  <c r="F55" i="24"/>
  <c r="V55" i="24"/>
  <c r="X55" i="24"/>
  <c r="V43" i="24"/>
  <c r="J55" i="24"/>
  <c r="E66" i="24"/>
  <c r="F66" i="24" s="1"/>
  <c r="E15" i="24"/>
  <c r="F15" i="24" s="1"/>
  <c r="V18" i="24"/>
  <c r="Z34" i="24"/>
  <c r="N43" i="24"/>
  <c r="N55" i="24"/>
  <c r="X66" i="24"/>
  <c r="M71" i="24"/>
  <c r="N71" i="24" s="1"/>
  <c r="D73" i="24"/>
  <c r="I66" i="24"/>
  <c r="I73" i="24" s="1"/>
  <c r="J43" i="24"/>
  <c r="Y43" i="24"/>
  <c r="Y19" i="24"/>
  <c r="R19" i="24"/>
  <c r="P73" i="24"/>
  <c r="F26" i="24"/>
  <c r="Z46" i="24"/>
  <c r="Z48" i="24"/>
  <c r="X71" i="24"/>
  <c r="R14" i="24"/>
  <c r="Q20" i="24"/>
  <c r="Y20" i="24" s="1"/>
  <c r="R69" i="24"/>
  <c r="Z69" i="24" s="1"/>
  <c r="Q70" i="24"/>
  <c r="Y70" i="24" s="1"/>
  <c r="I15" i="24"/>
  <c r="J15" i="24" s="1"/>
  <c r="V19" i="24"/>
  <c r="T26" i="24"/>
  <c r="X33" i="24"/>
  <c r="P43" i="24"/>
  <c r="R43" i="24" s="1"/>
  <c r="U49" i="24"/>
  <c r="N63" i="24"/>
  <c r="Y12" i="24"/>
  <c r="Y55" i="24"/>
  <c r="Y63" i="24"/>
  <c r="X70" i="24"/>
  <c r="J71" i="24"/>
  <c r="H73" i="24"/>
  <c r="F12" i="24"/>
  <c r="Z12" i="24" s="1"/>
  <c r="V33" i="24"/>
  <c r="F64" i="24"/>
  <c r="X19" i="24"/>
  <c r="J26" i="24"/>
  <c r="F14" i="24"/>
  <c r="V46" i="24"/>
  <c r="X49" i="24"/>
  <c r="F65" i="24"/>
  <c r="V66" i="24"/>
  <c r="V34" i="24"/>
  <c r="F63" i="24"/>
  <c r="F10" i="24"/>
  <c r="M12" i="23"/>
  <c r="I12" i="23"/>
  <c r="E12" i="23"/>
  <c r="R18" i="24" l="1"/>
  <c r="Z18" i="24" s="1"/>
  <c r="E73" i="24"/>
  <c r="F73" i="24" s="1"/>
  <c r="Q12" i="23"/>
  <c r="Z55" i="24"/>
  <c r="Z64" i="24"/>
  <c r="R70" i="24"/>
  <c r="Z70" i="24" s="1"/>
  <c r="Q71" i="24"/>
  <c r="Y71" i="24" s="1"/>
  <c r="M73" i="24"/>
  <c r="N73" i="24" s="1"/>
  <c r="R20" i="24"/>
  <c r="Z20" i="24" s="1"/>
  <c r="Y65" i="24"/>
  <c r="N26" i="24"/>
  <c r="Z65" i="24"/>
  <c r="V26" i="24"/>
  <c r="Z49" i="24"/>
  <c r="V49" i="24"/>
  <c r="Y64" i="24"/>
  <c r="J66" i="24"/>
  <c r="J73" i="24"/>
  <c r="X26" i="24"/>
  <c r="Z14" i="24"/>
  <c r="Z19" i="24"/>
  <c r="R10" i="24"/>
  <c r="Z10" i="24" s="1"/>
  <c r="Q15" i="24"/>
  <c r="Y15" i="24" s="1"/>
  <c r="Q26" i="24"/>
  <c r="X73" i="24"/>
  <c r="Y14" i="24"/>
  <c r="Y10" i="24"/>
  <c r="Z33" i="24"/>
  <c r="X43" i="24"/>
  <c r="Z43" i="24" s="1"/>
  <c r="R63" i="24"/>
  <c r="Z63" i="24" s="1"/>
  <c r="Q66" i="24"/>
  <c r="P22" i="23"/>
  <c r="X22" i="23" s="1"/>
  <c r="Q60" i="22"/>
  <c r="M71" i="22"/>
  <c r="M70" i="22"/>
  <c r="M69" i="22"/>
  <c r="I71" i="22"/>
  <c r="I70" i="22"/>
  <c r="I69" i="22"/>
  <c r="E71" i="22"/>
  <c r="E70" i="22"/>
  <c r="E69" i="22"/>
  <c r="R71" i="24" l="1"/>
  <c r="Z71" i="24" s="1"/>
  <c r="Q69" i="22"/>
  <c r="Q70" i="22"/>
  <c r="Q71" i="22"/>
  <c r="Q73" i="24"/>
  <c r="R66" i="24"/>
  <c r="Z66" i="24" s="1"/>
  <c r="Y66" i="24"/>
  <c r="Y26" i="24"/>
  <c r="R26" i="24"/>
  <c r="Z26" i="24" s="1"/>
  <c r="R15" i="24"/>
  <c r="Z15" i="24" s="1"/>
  <c r="R100" i="22"/>
  <c r="R73" i="24" l="1"/>
  <c r="Z73" i="24" s="1"/>
  <c r="Y73" i="24"/>
  <c r="R90" i="23"/>
  <c r="X53" i="22"/>
  <c r="D54" i="22"/>
  <c r="P54" i="22"/>
  <c r="Q53" i="22"/>
  <c r="R53" i="22" s="1"/>
  <c r="Y53" i="22" l="1"/>
  <c r="Z53" i="22" s="1"/>
  <c r="Q59" i="22"/>
  <c r="U54" i="22"/>
  <c r="M54" i="22"/>
  <c r="L54" i="22"/>
  <c r="I54" i="22"/>
  <c r="H54" i="22"/>
  <c r="E52" i="22"/>
  <c r="Y52" i="22" s="1"/>
  <c r="X52" i="22"/>
  <c r="N54" i="22" l="1"/>
  <c r="J54" i="22"/>
  <c r="E54" i="22"/>
  <c r="F52" i="22"/>
  <c r="Z52" i="22"/>
  <c r="X78" i="22" l="1"/>
  <c r="F31" i="23"/>
  <c r="X31" i="23"/>
  <c r="Y31" i="23"/>
  <c r="R32" i="23"/>
  <c r="X32" i="23"/>
  <c r="Y32" i="23"/>
  <c r="R91" i="23"/>
  <c r="R92" i="23" s="1"/>
  <c r="J89" i="23"/>
  <c r="J90" i="23"/>
  <c r="J91" i="23" l="1"/>
  <c r="Z31" i="23"/>
  <c r="Z32" i="23"/>
  <c r="U61" i="22"/>
  <c r="T61" i="22"/>
  <c r="Q61" i="22"/>
  <c r="P61" i="22"/>
  <c r="M61" i="22"/>
  <c r="L61" i="22"/>
  <c r="I61" i="22"/>
  <c r="H61" i="22"/>
  <c r="E61" i="22"/>
  <c r="D61" i="22"/>
  <c r="Y59" i="22"/>
  <c r="X59" i="22"/>
  <c r="R59" i="22"/>
  <c r="Q78" i="22"/>
  <c r="Q22" i="23"/>
  <c r="E21" i="23"/>
  <c r="F21" i="23" s="1"/>
  <c r="P30" i="23"/>
  <c r="H30" i="23"/>
  <c r="Q49" i="22"/>
  <c r="R49" i="22" s="1"/>
  <c r="T48" i="22"/>
  <c r="T54" i="22" s="1"/>
  <c r="V54" i="22" s="1"/>
  <c r="M14" i="22"/>
  <c r="I14" i="22"/>
  <c r="E14" i="22"/>
  <c r="M11" i="22"/>
  <c r="I11" i="22"/>
  <c r="E11" i="22"/>
  <c r="M10" i="22"/>
  <c r="I10" i="22"/>
  <c r="E10" i="22"/>
  <c r="Q10" i="22" l="1"/>
  <c r="V61" i="22"/>
  <c r="R22" i="23"/>
  <c r="Z22" i="23" s="1"/>
  <c r="Y22" i="23"/>
  <c r="N61" i="22"/>
  <c r="Q11" i="22"/>
  <c r="Z59" i="22"/>
  <c r="Q14" i="22"/>
  <c r="J61" i="22"/>
  <c r="R78" i="22"/>
  <c r="Z78" i="22" s="1"/>
  <c r="Y78" i="22"/>
  <c r="R61" i="22"/>
  <c r="Q20" i="11"/>
  <c r="R30" i="23" l="1"/>
  <c r="J30" i="23"/>
  <c r="Q31" i="22"/>
  <c r="R31" i="22" s="1"/>
  <c r="J44" i="22"/>
  <c r="X44" i="22"/>
  <c r="Y44" i="22"/>
  <c r="R44" i="22"/>
  <c r="X31" i="22"/>
  <c r="U32" i="22"/>
  <c r="T32" i="22"/>
  <c r="P32" i="22"/>
  <c r="L32" i="22"/>
  <c r="H32" i="22"/>
  <c r="E32" i="22"/>
  <c r="D32" i="22"/>
  <c r="I31" i="22"/>
  <c r="J31" i="22" s="1"/>
  <c r="F32" i="22" l="1"/>
  <c r="Q32" i="22"/>
  <c r="R32" i="22" s="1"/>
  <c r="V32" i="22"/>
  <c r="I32" i="22"/>
  <c r="J32" i="22" s="1"/>
  <c r="Y31" i="22"/>
  <c r="Z44" i="22"/>
  <c r="X32" i="22"/>
  <c r="M32" i="22"/>
  <c r="N32" i="22" s="1"/>
  <c r="Z31" i="22"/>
  <c r="Q48" i="22"/>
  <c r="R48" i="22" l="1"/>
  <c r="Y32" i="22"/>
  <c r="Z32" i="22"/>
  <c r="T18" i="22"/>
  <c r="M27" i="22" l="1"/>
  <c r="N27" i="22" s="1"/>
  <c r="V26" i="22" l="1"/>
  <c r="Q26" i="22"/>
  <c r="R26" i="22" s="1"/>
  <c r="T19" i="22"/>
  <c r="X27" i="22" l="1"/>
  <c r="Z26" i="22"/>
  <c r="Y26" i="22"/>
  <c r="X26" i="22"/>
  <c r="Q27" i="22"/>
  <c r="R27" i="22" s="1"/>
  <c r="Z27" i="22" s="1"/>
  <c r="T25" i="22"/>
  <c r="X25" i="22" s="1"/>
  <c r="U28" i="22"/>
  <c r="P28" i="22"/>
  <c r="M28" i="22"/>
  <c r="L28" i="22"/>
  <c r="I28" i="22"/>
  <c r="H28" i="22"/>
  <c r="E28" i="22"/>
  <c r="M12" i="22"/>
  <c r="I12" i="22"/>
  <c r="E12" i="22"/>
  <c r="F28" i="22" l="1"/>
  <c r="V25" i="22"/>
  <c r="Q25" i="22"/>
  <c r="Q28" i="22" s="1"/>
  <c r="N28" i="22"/>
  <c r="Y27" i="22"/>
  <c r="Q12" i="22"/>
  <c r="T45" i="22"/>
  <c r="T28" i="22"/>
  <c r="V28" i="22" s="1"/>
  <c r="J28" i="22"/>
  <c r="P33" i="23"/>
  <c r="Q54" i="22"/>
  <c r="R54" i="22" s="1"/>
  <c r="N90" i="23"/>
  <c r="F90" i="23"/>
  <c r="X64" i="23"/>
  <c r="V64" i="23"/>
  <c r="Y64" i="23"/>
  <c r="U61" i="23"/>
  <c r="T61" i="23"/>
  <c r="P61" i="23"/>
  <c r="L61" i="23"/>
  <c r="H61" i="23"/>
  <c r="D61" i="23"/>
  <c r="X60" i="23"/>
  <c r="J60" i="23"/>
  <c r="F60" i="23"/>
  <c r="X59" i="23"/>
  <c r="N59" i="23"/>
  <c r="J59" i="23"/>
  <c r="X58" i="23"/>
  <c r="Y49" i="23"/>
  <c r="X49" i="23"/>
  <c r="V49" i="23"/>
  <c r="R49" i="23"/>
  <c r="N49" i="23"/>
  <c r="J49" i="23"/>
  <c r="F49" i="23"/>
  <c r="X37" i="23"/>
  <c r="Y37" i="23"/>
  <c r="X36" i="23"/>
  <c r="U33" i="23"/>
  <c r="Q33" i="23"/>
  <c r="M33" i="23"/>
  <c r="L33" i="23"/>
  <c r="I33" i="23"/>
  <c r="H33" i="23"/>
  <c r="E33" i="23"/>
  <c r="Y30" i="23"/>
  <c r="X30" i="23"/>
  <c r="Y29" i="23"/>
  <c r="X29" i="23"/>
  <c r="R29" i="23"/>
  <c r="J29" i="23"/>
  <c r="Y27" i="23"/>
  <c r="V27" i="23"/>
  <c r="Y26" i="23"/>
  <c r="X26" i="23"/>
  <c r="U23" i="23"/>
  <c r="I23" i="23"/>
  <c r="H23" i="23"/>
  <c r="E23" i="23"/>
  <c r="D23" i="23"/>
  <c r="X21" i="23"/>
  <c r="Y21" i="23"/>
  <c r="X19" i="23"/>
  <c r="X18" i="23"/>
  <c r="U15" i="23"/>
  <c r="T15" i="23"/>
  <c r="P15" i="23"/>
  <c r="L15" i="23"/>
  <c r="H15" i="23"/>
  <c r="D15" i="23"/>
  <c r="X14" i="23"/>
  <c r="N14" i="23"/>
  <c r="J14" i="23"/>
  <c r="X12" i="23"/>
  <c r="N12" i="23"/>
  <c r="F12" i="23"/>
  <c r="Y11" i="23"/>
  <c r="X11" i="23"/>
  <c r="R11" i="23"/>
  <c r="N11" i="23"/>
  <c r="J11" i="23"/>
  <c r="F11" i="23"/>
  <c r="X10" i="23"/>
  <c r="N10" i="23"/>
  <c r="J10" i="23"/>
  <c r="X42" i="22"/>
  <c r="Y42" i="22"/>
  <c r="R42" i="22"/>
  <c r="X40" i="22"/>
  <c r="Y40" i="22"/>
  <c r="D45" i="22"/>
  <c r="R40" i="22"/>
  <c r="Y33" i="23" l="1"/>
  <c r="V15" i="23"/>
  <c r="F23" i="23"/>
  <c r="F33" i="23"/>
  <c r="J23" i="23"/>
  <c r="R33" i="23"/>
  <c r="Z11" i="23"/>
  <c r="L73" i="23"/>
  <c r="F71" i="23"/>
  <c r="N33" i="23"/>
  <c r="F50" i="23"/>
  <c r="R25" i="22"/>
  <c r="Z25" i="22" s="1"/>
  <c r="Y25" i="22"/>
  <c r="R10" i="23"/>
  <c r="M61" i="23"/>
  <c r="M73" i="23" s="1"/>
  <c r="Z29" i="23"/>
  <c r="I61" i="23"/>
  <c r="I73" i="23" s="1"/>
  <c r="J33" i="23"/>
  <c r="Z37" i="23"/>
  <c r="R41" i="23"/>
  <c r="Z41" i="23" s="1"/>
  <c r="H73" i="23"/>
  <c r="Z42" i="22"/>
  <c r="R28" i="22"/>
  <c r="Z28" i="22" s="1"/>
  <c r="Y28" i="22"/>
  <c r="X28" i="22"/>
  <c r="Z40" i="22"/>
  <c r="N58" i="23"/>
  <c r="D73" i="23"/>
  <c r="Y50" i="23"/>
  <c r="U73" i="23"/>
  <c r="V18" i="23"/>
  <c r="V37" i="23"/>
  <c r="Y12" i="23"/>
  <c r="R58" i="23"/>
  <c r="X61" i="23"/>
  <c r="F58" i="23"/>
  <c r="E61" i="23"/>
  <c r="E73" i="23" s="1"/>
  <c r="I15" i="23"/>
  <c r="J15" i="23" s="1"/>
  <c r="V36" i="23"/>
  <c r="J12" i="23"/>
  <c r="T73" i="23"/>
  <c r="R14" i="23"/>
  <c r="Z49" i="23"/>
  <c r="Z30" i="23"/>
  <c r="Z26" i="23"/>
  <c r="M23" i="23"/>
  <c r="M15" i="23"/>
  <c r="N15" i="23" s="1"/>
  <c r="X15" i="23"/>
  <c r="P23" i="23"/>
  <c r="X27" i="23"/>
  <c r="Z27" i="23" s="1"/>
  <c r="R59" i="23"/>
  <c r="X71" i="23"/>
  <c r="F10" i="23"/>
  <c r="E15" i="23"/>
  <c r="Q19" i="23"/>
  <c r="Z21" i="23"/>
  <c r="V26" i="23"/>
  <c r="T33" i="23"/>
  <c r="X33" i="23" s="1"/>
  <c r="X50" i="23"/>
  <c r="J58" i="23"/>
  <c r="N60" i="23"/>
  <c r="Q18" i="23"/>
  <c r="T23" i="23"/>
  <c r="V23" i="23" s="1"/>
  <c r="Y36" i="23"/>
  <c r="F59" i="23"/>
  <c r="R60" i="23"/>
  <c r="R64" i="23"/>
  <c r="Z64" i="23" s="1"/>
  <c r="Y71" i="23"/>
  <c r="V19" i="23"/>
  <c r="L23" i="23"/>
  <c r="V61" i="23"/>
  <c r="F14" i="23"/>
  <c r="Q19" i="22"/>
  <c r="X23" i="23" l="1"/>
  <c r="V33" i="23"/>
  <c r="Z33" i="23" s="1"/>
  <c r="Y10" i="23"/>
  <c r="N73" i="23"/>
  <c r="V73" i="23"/>
  <c r="J73" i="23"/>
  <c r="Z50" i="23"/>
  <c r="N61" i="23"/>
  <c r="J61" i="23"/>
  <c r="Z60" i="23"/>
  <c r="Y58" i="23"/>
  <c r="F73" i="23"/>
  <c r="R12" i="23"/>
  <c r="Z12" i="23" s="1"/>
  <c r="Q15" i="23"/>
  <c r="R15" i="23" s="1"/>
  <c r="Z58" i="23"/>
  <c r="Y14" i="23"/>
  <c r="Z14" i="23"/>
  <c r="Z59" i="23"/>
  <c r="Y60" i="23"/>
  <c r="F61" i="23"/>
  <c r="N23" i="23"/>
  <c r="Z36" i="23"/>
  <c r="Z71" i="23"/>
  <c r="Y19" i="23"/>
  <c r="R19" i="23"/>
  <c r="Z19" i="23" s="1"/>
  <c r="Q61" i="23"/>
  <c r="R18" i="23"/>
  <c r="Z18" i="23" s="1"/>
  <c r="Y18" i="23"/>
  <c r="Q23" i="23"/>
  <c r="Y23" i="23" s="1"/>
  <c r="Y59" i="23"/>
  <c r="F15" i="23"/>
  <c r="Z10" i="23"/>
  <c r="P73" i="23"/>
  <c r="Y19" i="22"/>
  <c r="R19" i="22"/>
  <c r="V19" i="22"/>
  <c r="X19" i="22"/>
  <c r="Z15" i="23" l="1"/>
  <c r="Y15" i="23"/>
  <c r="R23" i="23"/>
  <c r="Z23" i="23" s="1"/>
  <c r="Q73" i="23"/>
  <c r="Y73" i="23" s="1"/>
  <c r="R61" i="23"/>
  <c r="Z61" i="23" s="1"/>
  <c r="Y61" i="23"/>
  <c r="X73" i="23"/>
  <c r="Z19" i="22"/>
  <c r="X49" i="22"/>
  <c r="V49" i="22"/>
  <c r="X43" i="15"/>
  <c r="Q43" i="15"/>
  <c r="R43" i="15" s="1"/>
  <c r="V43" i="15"/>
  <c r="X50" i="15"/>
  <c r="Q50" i="15"/>
  <c r="R50" i="15" s="1"/>
  <c r="Q56" i="15"/>
  <c r="R56" i="15" s="1"/>
  <c r="T72" i="15"/>
  <c r="Q68" i="15"/>
  <c r="M67" i="15"/>
  <c r="M66" i="15"/>
  <c r="I67" i="15"/>
  <c r="I66" i="15"/>
  <c r="E66" i="15"/>
  <c r="E67" i="15"/>
  <c r="Q42" i="15"/>
  <c r="R42" i="15" s="1"/>
  <c r="R73" i="23" l="1"/>
  <c r="Z73" i="23" s="1"/>
  <c r="Q67" i="15"/>
  <c r="Y49" i="22"/>
  <c r="Z49" i="22" s="1"/>
  <c r="Y43" i="15"/>
  <c r="Z43" i="15" s="1"/>
  <c r="E69" i="15"/>
  <c r="Y50" i="15"/>
  <c r="Z50" i="15" s="1"/>
  <c r="X47" i="15"/>
  <c r="I49" i="15"/>
  <c r="I47" i="15"/>
  <c r="T27" i="15"/>
  <c r="M14" i="15"/>
  <c r="I14" i="15"/>
  <c r="E14" i="15"/>
  <c r="M11" i="15"/>
  <c r="M10" i="15"/>
  <c r="I11" i="15"/>
  <c r="I10" i="15"/>
  <c r="E11" i="15"/>
  <c r="E10" i="15"/>
  <c r="J47" i="15" l="1"/>
  <c r="Q10" i="15"/>
  <c r="Q11" i="15"/>
  <c r="Q14" i="15"/>
  <c r="Y47" i="15"/>
  <c r="Z47" i="15" s="1"/>
  <c r="H36" i="15"/>
  <c r="X21" i="22"/>
  <c r="Q66" i="15"/>
  <c r="Y74" i="15"/>
  <c r="X74" i="15"/>
  <c r="R74" i="15"/>
  <c r="Z74" i="15" s="1"/>
  <c r="Y46" i="15"/>
  <c r="X46" i="15"/>
  <c r="R46" i="15"/>
  <c r="Y49" i="15"/>
  <c r="X49" i="15"/>
  <c r="J49" i="15"/>
  <c r="Z49" i="15" l="1"/>
  <c r="Z46" i="15"/>
  <c r="Q21" i="22"/>
  <c r="N97" i="22"/>
  <c r="J97" i="22"/>
  <c r="F97" i="22"/>
  <c r="R21" i="22" l="1"/>
  <c r="Z21" i="22" s="1"/>
  <c r="Y21" i="22"/>
  <c r="M56" i="15" l="1"/>
  <c r="V36" i="22" l="1"/>
  <c r="N12" i="22"/>
  <c r="J12" i="22"/>
  <c r="U79" i="22"/>
  <c r="T79" i="22"/>
  <c r="L79" i="22"/>
  <c r="I79" i="22"/>
  <c r="H79" i="22"/>
  <c r="E79" i="22"/>
  <c r="D79" i="22"/>
  <c r="M79" i="22"/>
  <c r="X75" i="22"/>
  <c r="V75" i="22"/>
  <c r="Q75" i="22"/>
  <c r="R75" i="22" s="1"/>
  <c r="U72" i="22"/>
  <c r="T72" i="22"/>
  <c r="P72" i="22"/>
  <c r="L72" i="22"/>
  <c r="H72" i="22"/>
  <c r="D72" i="22"/>
  <c r="X71" i="22"/>
  <c r="N71" i="22"/>
  <c r="J71" i="22"/>
  <c r="X70" i="22"/>
  <c r="N70" i="22"/>
  <c r="J70" i="22"/>
  <c r="X69" i="22"/>
  <c r="N69" i="22"/>
  <c r="J69" i="22"/>
  <c r="Y60" i="22"/>
  <c r="X60" i="22"/>
  <c r="V60" i="22"/>
  <c r="R60" i="22"/>
  <c r="N60" i="22"/>
  <c r="J60" i="22"/>
  <c r="F60" i="22"/>
  <c r="X48" i="22"/>
  <c r="X54" i="22" s="1"/>
  <c r="U45" i="22"/>
  <c r="Q45" i="22"/>
  <c r="M45" i="22"/>
  <c r="L45" i="22"/>
  <c r="I45" i="22"/>
  <c r="H45" i="22"/>
  <c r="E45" i="22"/>
  <c r="Y36" i="22"/>
  <c r="Y35" i="22"/>
  <c r="U22" i="22"/>
  <c r="H22" i="22"/>
  <c r="D22" i="22"/>
  <c r="Q18" i="22"/>
  <c r="U15" i="22"/>
  <c r="T15" i="22"/>
  <c r="P15" i="22"/>
  <c r="L15" i="22"/>
  <c r="H15" i="22"/>
  <c r="D15" i="22"/>
  <c r="X14" i="22"/>
  <c r="Y14" i="22"/>
  <c r="N14" i="22"/>
  <c r="J14" i="22"/>
  <c r="F14" i="22"/>
  <c r="X12" i="22"/>
  <c r="Y11" i="22"/>
  <c r="X11" i="22"/>
  <c r="R11" i="22"/>
  <c r="N11" i="22"/>
  <c r="J11" i="22"/>
  <c r="F11" i="22"/>
  <c r="X10" i="22"/>
  <c r="J10" i="22"/>
  <c r="Z9" i="22"/>
  <c r="Y9" i="22"/>
  <c r="X9" i="22"/>
  <c r="J102" i="15"/>
  <c r="Y38" i="15"/>
  <c r="X38" i="15"/>
  <c r="Y37" i="15"/>
  <c r="X37" i="15"/>
  <c r="Y36" i="15"/>
  <c r="X36" i="15"/>
  <c r="R38" i="15"/>
  <c r="J38" i="15"/>
  <c r="J36" i="15"/>
  <c r="R37" i="15"/>
  <c r="Y35" i="15"/>
  <c r="X35" i="15"/>
  <c r="F35" i="15"/>
  <c r="U58" i="15"/>
  <c r="T58" i="15"/>
  <c r="Q58" i="15"/>
  <c r="P58" i="15"/>
  <c r="V57" i="15"/>
  <c r="R57" i="15"/>
  <c r="F57" i="15"/>
  <c r="J57" i="15"/>
  <c r="N57" i="15"/>
  <c r="Y57" i="15"/>
  <c r="X57" i="15"/>
  <c r="L58" i="15"/>
  <c r="I58" i="15"/>
  <c r="H58" i="15"/>
  <c r="E58" i="15"/>
  <c r="D58" i="15"/>
  <c r="T51" i="15"/>
  <c r="P51" i="15"/>
  <c r="V42" i="15"/>
  <c r="M51" i="15"/>
  <c r="L51" i="15"/>
  <c r="I51" i="15"/>
  <c r="H51" i="15"/>
  <c r="E51" i="15"/>
  <c r="D51" i="15"/>
  <c r="J34" i="15"/>
  <c r="J33" i="15"/>
  <c r="Y34" i="15"/>
  <c r="X34" i="15"/>
  <c r="Y33" i="15"/>
  <c r="X33" i="15"/>
  <c r="Y31" i="15"/>
  <c r="X31" i="15"/>
  <c r="F31" i="15"/>
  <c r="T18" i="15"/>
  <c r="H23" i="15"/>
  <c r="Q23" i="15"/>
  <c r="Q22" i="15"/>
  <c r="R22" i="15" s="1"/>
  <c r="Z22" i="15" s="1"/>
  <c r="I21" i="15"/>
  <c r="X22" i="15"/>
  <c r="X21" i="15"/>
  <c r="D20" i="15"/>
  <c r="E20" i="15" s="1"/>
  <c r="Y20" i="15" s="1"/>
  <c r="M12" i="15"/>
  <c r="I12" i="15"/>
  <c r="E12" i="15"/>
  <c r="R101" i="15"/>
  <c r="P19" i="11"/>
  <c r="P33" i="11"/>
  <c r="F100" i="15"/>
  <c r="Q68" i="11"/>
  <c r="X57" i="11"/>
  <c r="X56" i="11"/>
  <c r="I57" i="11"/>
  <c r="Y57" i="11" s="1"/>
  <c r="E56" i="11"/>
  <c r="F56" i="11" s="1"/>
  <c r="X76" i="11"/>
  <c r="I76" i="11"/>
  <c r="J76" i="11" s="1"/>
  <c r="Z76" i="11" s="1"/>
  <c r="Q78" i="11"/>
  <c r="R78" i="11" s="1"/>
  <c r="X78" i="11"/>
  <c r="I78" i="11"/>
  <c r="J78" i="11" s="1"/>
  <c r="X77" i="11"/>
  <c r="X75" i="11"/>
  <c r="Q77" i="11"/>
  <c r="R77" i="11" s="1"/>
  <c r="Z77" i="11" s="1"/>
  <c r="E75" i="11"/>
  <c r="F75" i="11" s="1"/>
  <c r="Z75" i="11" s="1"/>
  <c r="M69" i="11"/>
  <c r="E69" i="11"/>
  <c r="I69" i="11"/>
  <c r="J109" i="11"/>
  <c r="V58" i="15" l="1"/>
  <c r="Y75" i="11"/>
  <c r="Z57" i="11"/>
  <c r="Y77" i="11"/>
  <c r="J57" i="11"/>
  <c r="Y56" i="11"/>
  <c r="Z56" i="11" s="1"/>
  <c r="Q69" i="11"/>
  <c r="Z78" i="11"/>
  <c r="Y21" i="15"/>
  <c r="X23" i="15"/>
  <c r="Y48" i="22"/>
  <c r="Y54" i="22" s="1"/>
  <c r="Z54" i="22" s="1"/>
  <c r="Z35" i="15"/>
  <c r="Z37" i="15"/>
  <c r="Z36" i="15"/>
  <c r="Q69" i="15"/>
  <c r="Z38" i="15"/>
  <c r="V15" i="22"/>
  <c r="V45" i="22"/>
  <c r="H81" i="22"/>
  <c r="N45" i="22"/>
  <c r="R69" i="22"/>
  <c r="F79" i="22"/>
  <c r="Z60" i="22"/>
  <c r="X36" i="22"/>
  <c r="Z36" i="22" s="1"/>
  <c r="Z11" i="22"/>
  <c r="P22" i="22"/>
  <c r="L81" i="22"/>
  <c r="E15" i="22"/>
  <c r="V72" i="22"/>
  <c r="M15" i="22"/>
  <c r="Z75" i="22"/>
  <c r="N10" i="22"/>
  <c r="J79" i="22"/>
  <c r="R12" i="22"/>
  <c r="F45" i="22"/>
  <c r="R71" i="22"/>
  <c r="N79" i="22"/>
  <c r="Y45" i="22"/>
  <c r="J45" i="22"/>
  <c r="V48" i="22"/>
  <c r="U81" i="22"/>
  <c r="V79" i="22"/>
  <c r="D81" i="22"/>
  <c r="E72" i="22"/>
  <c r="F72" i="22" s="1"/>
  <c r="P45" i="22"/>
  <c r="R45" i="22" s="1"/>
  <c r="X61" i="22"/>
  <c r="Y75" i="22"/>
  <c r="I15" i="22"/>
  <c r="I22" i="22"/>
  <c r="M22" i="22"/>
  <c r="Q22" i="22"/>
  <c r="R18" i="22"/>
  <c r="Y18" i="22"/>
  <c r="Y61" i="22"/>
  <c r="I72" i="22"/>
  <c r="F10" i="22"/>
  <c r="R14" i="22"/>
  <c r="Z14" i="22" s="1"/>
  <c r="T81" i="22"/>
  <c r="F12" i="22"/>
  <c r="M72" i="22"/>
  <c r="M81" i="22" s="1"/>
  <c r="X72" i="22"/>
  <c r="X15" i="22"/>
  <c r="F69" i="22"/>
  <c r="R70" i="22"/>
  <c r="V35" i="22"/>
  <c r="F71" i="22"/>
  <c r="X18" i="22"/>
  <c r="T22" i="22"/>
  <c r="V22" i="22" s="1"/>
  <c r="X35" i="22"/>
  <c r="L22" i="22"/>
  <c r="P79" i="22"/>
  <c r="X79" i="22" s="1"/>
  <c r="F61" i="22"/>
  <c r="V18" i="22"/>
  <c r="Q79" i="22"/>
  <c r="Y79" i="22" s="1"/>
  <c r="F70" i="22"/>
  <c r="U51" i="15"/>
  <c r="R58" i="15"/>
  <c r="Z57" i="15"/>
  <c r="Q51" i="15"/>
  <c r="Z31" i="15"/>
  <c r="Z34" i="15"/>
  <c r="Z33" i="15"/>
  <c r="Y22" i="15"/>
  <c r="Q12" i="15"/>
  <c r="I23" i="15"/>
  <c r="F20" i="15"/>
  <c r="Z20" i="15" s="1"/>
  <c r="X20" i="15"/>
  <c r="R23" i="15"/>
  <c r="J21" i="15"/>
  <c r="Y78" i="11"/>
  <c r="Y76" i="11"/>
  <c r="U59" i="11"/>
  <c r="T59" i="11"/>
  <c r="V58" i="11"/>
  <c r="Q59" i="11"/>
  <c r="P59" i="11"/>
  <c r="R58" i="11"/>
  <c r="L59" i="11"/>
  <c r="N58" i="11"/>
  <c r="F58" i="11"/>
  <c r="J58" i="11"/>
  <c r="I59" i="11"/>
  <c r="H59" i="11"/>
  <c r="E59" i="11"/>
  <c r="Y58" i="11"/>
  <c r="X58" i="11"/>
  <c r="D59" i="11"/>
  <c r="M10" i="11"/>
  <c r="I10" i="11"/>
  <c r="E10" i="11"/>
  <c r="M11" i="11"/>
  <c r="I11" i="11"/>
  <c r="E11" i="11"/>
  <c r="M14" i="11"/>
  <c r="I14" i="11"/>
  <c r="E14" i="11"/>
  <c r="M69" i="15"/>
  <c r="R68" i="15"/>
  <c r="Y68" i="15"/>
  <c r="X68" i="15"/>
  <c r="N68" i="15"/>
  <c r="J68" i="15"/>
  <c r="F68" i="15"/>
  <c r="U69" i="15"/>
  <c r="T69" i="15"/>
  <c r="P69" i="15"/>
  <c r="L69" i="15"/>
  <c r="I69" i="15"/>
  <c r="H69" i="15"/>
  <c r="D69" i="15"/>
  <c r="V59" i="11" l="1"/>
  <c r="Z21" i="15"/>
  <c r="J23" i="15"/>
  <c r="Z23" i="15" s="1"/>
  <c r="J15" i="22"/>
  <c r="N15" i="22"/>
  <c r="F15" i="22"/>
  <c r="Z48" i="22"/>
  <c r="N72" i="22"/>
  <c r="Y69" i="22"/>
  <c r="E81" i="22"/>
  <c r="F81" i="22" s="1"/>
  <c r="Z61" i="22"/>
  <c r="Y12" i="22"/>
  <c r="R22" i="22"/>
  <c r="Z12" i="22"/>
  <c r="N81" i="22"/>
  <c r="Y71" i="22"/>
  <c r="Z71" i="22"/>
  <c r="V81" i="22"/>
  <c r="Q72" i="22"/>
  <c r="Q81" i="22" s="1"/>
  <c r="Z70" i="22"/>
  <c r="N22" i="22"/>
  <c r="Y70" i="22"/>
  <c r="Q15" i="22"/>
  <c r="R10" i="22"/>
  <c r="Z10" i="22" s="1"/>
  <c r="X22" i="22"/>
  <c r="E22" i="22"/>
  <c r="I81" i="22"/>
  <c r="J81" i="22" s="1"/>
  <c r="J72" i="22"/>
  <c r="X45" i="22"/>
  <c r="Z45" i="22" s="1"/>
  <c r="Z35" i="22"/>
  <c r="Z69" i="22"/>
  <c r="Y10" i="22"/>
  <c r="Z18" i="22"/>
  <c r="J22" i="22"/>
  <c r="R79" i="22"/>
  <c r="Z79" i="22" s="1"/>
  <c r="P81" i="22"/>
  <c r="Y23" i="15"/>
  <c r="Q14" i="11"/>
  <c r="Q11" i="11"/>
  <c r="Q10" i="11"/>
  <c r="Z58" i="11"/>
  <c r="Z68" i="15"/>
  <c r="J69" i="15"/>
  <c r="R69" i="15"/>
  <c r="V69" i="15"/>
  <c r="N69" i="15"/>
  <c r="Y81" i="22" l="1"/>
  <c r="R72" i="22"/>
  <c r="Z72" i="22" s="1"/>
  <c r="Y72" i="22"/>
  <c r="R81" i="22"/>
  <c r="Z81" i="22" s="1"/>
  <c r="X81" i="22"/>
  <c r="R15" i="22"/>
  <c r="Z15" i="22" s="1"/>
  <c r="Y15" i="22"/>
  <c r="Y22" i="22"/>
  <c r="F22" i="22"/>
  <c r="Z22" i="22" s="1"/>
  <c r="P50" i="11"/>
  <c r="X49" i="11"/>
  <c r="Y49" i="11"/>
  <c r="V49" i="11"/>
  <c r="T25" i="11"/>
  <c r="Q25" i="11" s="1"/>
  <c r="D27" i="11"/>
  <c r="R12" i="11"/>
  <c r="Z49" i="11" l="1"/>
  <c r="N99" i="15" l="1"/>
  <c r="J113" i="9"/>
  <c r="J115" i="9"/>
  <c r="R115" i="9"/>
  <c r="R116" i="9" s="1"/>
  <c r="N115" i="9"/>
  <c r="F113" i="9"/>
  <c r="F115" i="9" s="1"/>
  <c r="R114" i="11"/>
  <c r="N108" i="11"/>
  <c r="F108" i="11"/>
  <c r="J117" i="9" l="1"/>
  <c r="X56" i="15"/>
  <c r="M58" i="15"/>
  <c r="U75" i="15"/>
  <c r="U77" i="15" s="1"/>
  <c r="T75" i="15"/>
  <c r="L75" i="15"/>
  <c r="I75" i="15"/>
  <c r="I77" i="15" s="1"/>
  <c r="H75" i="15"/>
  <c r="E75" i="15"/>
  <c r="D75" i="15"/>
  <c r="X72" i="15"/>
  <c r="V72" i="15"/>
  <c r="R72" i="15"/>
  <c r="Y67" i="15"/>
  <c r="X67" i="15"/>
  <c r="R67" i="15"/>
  <c r="N67" i="15"/>
  <c r="J67" i="15"/>
  <c r="F67" i="15"/>
  <c r="Y66" i="15"/>
  <c r="X66" i="15"/>
  <c r="R66" i="15"/>
  <c r="N66" i="15"/>
  <c r="J66" i="15"/>
  <c r="F66" i="15"/>
  <c r="U66" i="9"/>
  <c r="T66" i="9"/>
  <c r="L66" i="9"/>
  <c r="I66" i="9"/>
  <c r="H66" i="9"/>
  <c r="E66" i="9"/>
  <c r="D66" i="9"/>
  <c r="E50" i="11"/>
  <c r="I50" i="11"/>
  <c r="H50" i="11"/>
  <c r="M50" i="11"/>
  <c r="L50" i="11"/>
  <c r="U50" i="11"/>
  <c r="T50" i="11"/>
  <c r="Q50" i="11"/>
  <c r="X55" i="11"/>
  <c r="M55" i="11"/>
  <c r="U79" i="11"/>
  <c r="T79" i="11"/>
  <c r="P79" i="11"/>
  <c r="L79" i="11"/>
  <c r="H79" i="11"/>
  <c r="E79" i="11"/>
  <c r="D79" i="11"/>
  <c r="I79" i="11"/>
  <c r="X73" i="11"/>
  <c r="V73" i="11"/>
  <c r="Q73" i="11"/>
  <c r="Y73" i="11" s="1"/>
  <c r="U70" i="11"/>
  <c r="T70" i="11"/>
  <c r="Q70" i="11"/>
  <c r="P70" i="11"/>
  <c r="M70" i="11"/>
  <c r="L70" i="11"/>
  <c r="I70" i="11"/>
  <c r="H70" i="11"/>
  <c r="E70" i="11"/>
  <c r="D70" i="11"/>
  <c r="Y69" i="11"/>
  <c r="X69" i="11"/>
  <c r="R69" i="11"/>
  <c r="N69" i="11"/>
  <c r="J69" i="11"/>
  <c r="F69" i="11"/>
  <c r="Y68" i="11"/>
  <c r="X68" i="11"/>
  <c r="R68" i="11"/>
  <c r="N68" i="11"/>
  <c r="J68" i="11"/>
  <c r="F68" i="11"/>
  <c r="Q84" i="9"/>
  <c r="Y84" i="9" s="1"/>
  <c r="Q82" i="9"/>
  <c r="R82" i="9" s="1"/>
  <c r="L86" i="9"/>
  <c r="U86" i="9"/>
  <c r="T86" i="9"/>
  <c r="H86" i="9"/>
  <c r="E86" i="9"/>
  <c r="D86" i="9"/>
  <c r="X85" i="9"/>
  <c r="I85" i="9"/>
  <c r="Y85" i="9" s="1"/>
  <c r="X84" i="9"/>
  <c r="X82" i="9"/>
  <c r="V82" i="9"/>
  <c r="U79" i="9"/>
  <c r="T79" i="9"/>
  <c r="Q79" i="9"/>
  <c r="P79" i="9"/>
  <c r="M79" i="9"/>
  <c r="L79" i="9"/>
  <c r="I79" i="9"/>
  <c r="H79" i="9"/>
  <c r="E79" i="9"/>
  <c r="D79" i="9"/>
  <c r="Y78" i="9"/>
  <c r="X78" i="9"/>
  <c r="R78" i="9"/>
  <c r="N78" i="9"/>
  <c r="J78" i="9"/>
  <c r="F78" i="9"/>
  <c r="Y77" i="9"/>
  <c r="X77" i="9"/>
  <c r="R77" i="9"/>
  <c r="N77" i="9"/>
  <c r="J77" i="9"/>
  <c r="F77" i="9"/>
  <c r="Q18" i="15"/>
  <c r="R18" i="15" s="1"/>
  <c r="Y42" i="15"/>
  <c r="X42" i="15"/>
  <c r="U39" i="15"/>
  <c r="Q39" i="15"/>
  <c r="P39" i="15"/>
  <c r="M39" i="15"/>
  <c r="L39" i="15"/>
  <c r="I39" i="15"/>
  <c r="H39" i="15"/>
  <c r="E39" i="15"/>
  <c r="Y28" i="15"/>
  <c r="X28" i="15"/>
  <c r="Y27" i="15"/>
  <c r="V27" i="15"/>
  <c r="U24" i="15"/>
  <c r="T24" i="15"/>
  <c r="L24" i="15"/>
  <c r="H24" i="15"/>
  <c r="E24" i="15"/>
  <c r="D24" i="15"/>
  <c r="X18" i="15"/>
  <c r="V18" i="15"/>
  <c r="U15" i="15"/>
  <c r="T15" i="15"/>
  <c r="Q15" i="15"/>
  <c r="P15" i="15"/>
  <c r="M15" i="15"/>
  <c r="L15" i="15"/>
  <c r="I15" i="15"/>
  <c r="H15" i="15"/>
  <c r="E15" i="15"/>
  <c r="D15" i="15"/>
  <c r="Y14" i="15"/>
  <c r="X14" i="15"/>
  <c r="R14" i="15"/>
  <c r="N14" i="15"/>
  <c r="J14" i="15"/>
  <c r="F14" i="15"/>
  <c r="Y12" i="15"/>
  <c r="X12" i="15"/>
  <c r="R12" i="15"/>
  <c r="N12" i="15"/>
  <c r="J12" i="15"/>
  <c r="F12" i="15"/>
  <c r="Y11" i="15"/>
  <c r="X11" i="15"/>
  <c r="R11" i="15"/>
  <c r="N11" i="15"/>
  <c r="J11" i="15"/>
  <c r="F11" i="15"/>
  <c r="Y10" i="15"/>
  <c r="X10" i="15"/>
  <c r="R10" i="15"/>
  <c r="N10" i="15"/>
  <c r="J10" i="15"/>
  <c r="F10" i="15"/>
  <c r="Z9" i="15"/>
  <c r="Y9" i="15"/>
  <c r="X9" i="15"/>
  <c r="U43" i="11"/>
  <c r="Q43" i="11"/>
  <c r="P43" i="11"/>
  <c r="M43" i="11"/>
  <c r="L43" i="11"/>
  <c r="I43" i="11"/>
  <c r="H43" i="11"/>
  <c r="E43" i="11"/>
  <c r="U27" i="11"/>
  <c r="T27" i="11"/>
  <c r="P27" i="11"/>
  <c r="M27" i="11"/>
  <c r="L27" i="11"/>
  <c r="I27" i="11"/>
  <c r="H27" i="11"/>
  <c r="E27" i="11"/>
  <c r="U22" i="11"/>
  <c r="T22" i="11"/>
  <c r="H22" i="11"/>
  <c r="E22" i="11"/>
  <c r="D22" i="11"/>
  <c r="U15" i="11"/>
  <c r="T15" i="11"/>
  <c r="Q15" i="11"/>
  <c r="P15" i="11"/>
  <c r="M15" i="11"/>
  <c r="L15" i="11"/>
  <c r="I15" i="11"/>
  <c r="H15" i="11"/>
  <c r="E15" i="11"/>
  <c r="D15" i="11"/>
  <c r="T58" i="9"/>
  <c r="P58" i="9"/>
  <c r="L58" i="9"/>
  <c r="H58" i="9"/>
  <c r="D58" i="9"/>
  <c r="U46" i="9"/>
  <c r="T46" i="9"/>
  <c r="P46" i="9"/>
  <c r="Q46" i="9"/>
  <c r="M46" i="9"/>
  <c r="L46" i="9"/>
  <c r="I46" i="9"/>
  <c r="H46" i="9"/>
  <c r="E46" i="9"/>
  <c r="U27" i="9"/>
  <c r="T27" i="9"/>
  <c r="E27" i="9"/>
  <c r="D27" i="9"/>
  <c r="U15" i="9"/>
  <c r="T15" i="9"/>
  <c r="P15" i="9"/>
  <c r="M15" i="9"/>
  <c r="L15" i="9"/>
  <c r="I15" i="9"/>
  <c r="H15" i="9"/>
  <c r="E15" i="9"/>
  <c r="D15" i="9"/>
  <c r="X40" i="11"/>
  <c r="Y40" i="11"/>
  <c r="X41" i="11"/>
  <c r="Y41" i="11"/>
  <c r="X42" i="11"/>
  <c r="Y42" i="11"/>
  <c r="R42" i="11"/>
  <c r="Q26" i="11"/>
  <c r="R26" i="11" s="1"/>
  <c r="J41" i="11"/>
  <c r="R40" i="11"/>
  <c r="J38" i="11"/>
  <c r="J37" i="11"/>
  <c r="R38" i="11"/>
  <c r="X33" i="11"/>
  <c r="Y33" i="11"/>
  <c r="X36" i="11"/>
  <c r="Y36" i="11"/>
  <c r="X37" i="11"/>
  <c r="Y37" i="11"/>
  <c r="X38" i="11"/>
  <c r="Y38" i="11"/>
  <c r="X39" i="11"/>
  <c r="Y39" i="11"/>
  <c r="R33" i="11"/>
  <c r="R36" i="11"/>
  <c r="N33" i="11"/>
  <c r="Y31" i="11"/>
  <c r="Y30" i="11"/>
  <c r="X31" i="11"/>
  <c r="V30" i="11"/>
  <c r="Q19" i="11"/>
  <c r="R19" i="11" s="1"/>
  <c r="I21" i="11"/>
  <c r="X25" i="11"/>
  <c r="V25" i="11"/>
  <c r="Y25" i="11"/>
  <c r="X26" i="11"/>
  <c r="F12" i="11"/>
  <c r="X21" i="11"/>
  <c r="Y20" i="11"/>
  <c r="Y18" i="11"/>
  <c r="R18" i="11"/>
  <c r="V18" i="11"/>
  <c r="X10" i="11"/>
  <c r="Y10" i="11"/>
  <c r="X11" i="11"/>
  <c r="Y11" i="11"/>
  <c r="X12" i="11"/>
  <c r="Y12" i="11"/>
  <c r="X14" i="11"/>
  <c r="Y14" i="11"/>
  <c r="R14" i="11"/>
  <c r="R11" i="11"/>
  <c r="R10" i="11"/>
  <c r="N14" i="11"/>
  <c r="N12" i="11"/>
  <c r="N11" i="11"/>
  <c r="N10" i="11"/>
  <c r="J14" i="11"/>
  <c r="J12" i="11"/>
  <c r="J11" i="11"/>
  <c r="J10" i="11"/>
  <c r="F11" i="11"/>
  <c r="F14" i="11"/>
  <c r="F10" i="11"/>
  <c r="Q63" i="9"/>
  <c r="Y63" i="9" s="1"/>
  <c r="Q10" i="9"/>
  <c r="Q15" i="9" s="1"/>
  <c r="Q18" i="9"/>
  <c r="R18" i="9" s="1"/>
  <c r="X65" i="9"/>
  <c r="X63" i="9"/>
  <c r="X57" i="9"/>
  <c r="Y45" i="9"/>
  <c r="X45" i="9"/>
  <c r="Y44" i="9"/>
  <c r="X44" i="9"/>
  <c r="Y43" i="9"/>
  <c r="X43" i="9"/>
  <c r="Y42" i="9"/>
  <c r="X42" i="9"/>
  <c r="Y41" i="9"/>
  <c r="X41" i="9"/>
  <c r="Y40" i="9"/>
  <c r="X40" i="9"/>
  <c r="Y39" i="9"/>
  <c r="X39" i="9"/>
  <c r="Y31" i="9"/>
  <c r="X31" i="9"/>
  <c r="Y30" i="9"/>
  <c r="X30" i="9"/>
  <c r="X25" i="9"/>
  <c r="X24" i="9"/>
  <c r="X22" i="9"/>
  <c r="X21" i="9"/>
  <c r="X20" i="9"/>
  <c r="X18" i="9"/>
  <c r="Y14" i="9"/>
  <c r="X14" i="9"/>
  <c r="Y12" i="9"/>
  <c r="X12" i="9"/>
  <c r="Y11" i="9"/>
  <c r="X11" i="9"/>
  <c r="X10" i="9"/>
  <c r="Y7" i="9"/>
  <c r="V18" i="9"/>
  <c r="V31" i="9"/>
  <c r="Z31" i="9" s="1"/>
  <c r="V30" i="9"/>
  <c r="Z30" i="9" s="1"/>
  <c r="Q65" i="9"/>
  <c r="R65" i="9" s="1"/>
  <c r="Z65" i="9" s="1"/>
  <c r="M57" i="9"/>
  <c r="N57" i="9" s="1"/>
  <c r="Z57" i="9" s="1"/>
  <c r="E58" i="9"/>
  <c r="N45" i="9"/>
  <c r="Z45" i="9" s="1"/>
  <c r="J44" i="9"/>
  <c r="Z44" i="9" s="1"/>
  <c r="J43" i="9"/>
  <c r="Z43" i="9" s="1"/>
  <c r="J42" i="9"/>
  <c r="Z42" i="9" s="1"/>
  <c r="J41" i="9"/>
  <c r="Z41" i="9" s="1"/>
  <c r="R40" i="9"/>
  <c r="Z40" i="9" s="1"/>
  <c r="R39" i="9"/>
  <c r="Z39" i="9" s="1"/>
  <c r="P27" i="9"/>
  <c r="L26" i="9"/>
  <c r="L27" i="9" s="1"/>
  <c r="I25" i="9"/>
  <c r="Y25" i="9" s="1"/>
  <c r="I24" i="9"/>
  <c r="Y24" i="9" s="1"/>
  <c r="Q23" i="9"/>
  <c r="R23" i="9" s="1"/>
  <c r="H27" i="9"/>
  <c r="I22" i="9"/>
  <c r="Y22" i="9" s="1"/>
  <c r="Q21" i="9"/>
  <c r="Y21" i="9" s="1"/>
  <c r="Q20" i="9"/>
  <c r="Y20" i="9" s="1"/>
  <c r="R14" i="9"/>
  <c r="N14" i="9"/>
  <c r="J14" i="9"/>
  <c r="F14" i="9"/>
  <c r="R12" i="9"/>
  <c r="N12" i="9"/>
  <c r="J12" i="9"/>
  <c r="F12" i="9"/>
  <c r="R11" i="9"/>
  <c r="N11" i="9"/>
  <c r="J11" i="9"/>
  <c r="F11" i="9"/>
  <c r="N10" i="9"/>
  <c r="J10" i="9"/>
  <c r="F10" i="9"/>
  <c r="N7" i="9"/>
  <c r="J7" i="9"/>
  <c r="F7" i="9"/>
  <c r="L81" i="11" l="1"/>
  <c r="L88" i="9"/>
  <c r="F66" i="9"/>
  <c r="V75" i="15"/>
  <c r="P75" i="15"/>
  <c r="P77" i="15" s="1"/>
  <c r="N55" i="11"/>
  <c r="M59" i="11"/>
  <c r="N59" i="11" s="1"/>
  <c r="N27" i="11"/>
  <c r="R15" i="11"/>
  <c r="N50" i="11"/>
  <c r="L60" i="9"/>
  <c r="L68" i="9" s="1"/>
  <c r="R20" i="11"/>
  <c r="Z20" i="11" s="1"/>
  <c r="Y21" i="11"/>
  <c r="M19" i="11"/>
  <c r="M22" i="11" s="1"/>
  <c r="E81" i="11"/>
  <c r="U81" i="11"/>
  <c r="H77" i="15"/>
  <c r="J77" i="15" s="1"/>
  <c r="F75" i="15"/>
  <c r="Z67" i="15"/>
  <c r="J27" i="11"/>
  <c r="X59" i="11"/>
  <c r="T77" i="15"/>
  <c r="V77" i="15" s="1"/>
  <c r="Z72" i="15"/>
  <c r="F58" i="15"/>
  <c r="Y56" i="15"/>
  <c r="Z56" i="15" s="1"/>
  <c r="J58" i="15"/>
  <c r="P81" i="11"/>
  <c r="F79" i="11"/>
  <c r="E88" i="9"/>
  <c r="V15" i="9"/>
  <c r="V27" i="9"/>
  <c r="J46" i="9"/>
  <c r="R7" i="9"/>
  <c r="U88" i="9"/>
  <c r="D88" i="9"/>
  <c r="X15" i="9"/>
  <c r="J66" i="9"/>
  <c r="R10" i="9"/>
  <c r="Z10" i="9" s="1"/>
  <c r="F86" i="9"/>
  <c r="J25" i="9"/>
  <c r="Z25" i="9" s="1"/>
  <c r="X7" i="9"/>
  <c r="F27" i="9"/>
  <c r="F46" i="9"/>
  <c r="N46" i="9"/>
  <c r="V46" i="9"/>
  <c r="V79" i="9"/>
  <c r="R63" i="9"/>
  <c r="Z63" i="9" s="1"/>
  <c r="R46" i="9"/>
  <c r="R20" i="9"/>
  <c r="Z20" i="9" s="1"/>
  <c r="E60" i="9"/>
  <c r="E68" i="9" s="1"/>
  <c r="H88" i="9"/>
  <c r="R21" i="9"/>
  <c r="Z21" i="9" s="1"/>
  <c r="M26" i="9"/>
  <c r="Y26" i="9" s="1"/>
  <c r="J15" i="9"/>
  <c r="M66" i="9"/>
  <c r="N66" i="9" s="1"/>
  <c r="V66" i="9"/>
  <c r="Y82" i="9"/>
  <c r="P66" i="9"/>
  <c r="V79" i="11"/>
  <c r="J43" i="11"/>
  <c r="R43" i="11"/>
  <c r="J59" i="11"/>
  <c r="R59" i="11"/>
  <c r="V70" i="11"/>
  <c r="Y26" i="11"/>
  <c r="Z26" i="11" s="1"/>
  <c r="F22" i="11"/>
  <c r="Z41" i="11"/>
  <c r="Z68" i="11"/>
  <c r="X79" i="11"/>
  <c r="Y55" i="11"/>
  <c r="Z55" i="11" s="1"/>
  <c r="Y43" i="11"/>
  <c r="L22" i="11"/>
  <c r="R70" i="11"/>
  <c r="V15" i="11"/>
  <c r="F39" i="15"/>
  <c r="N39" i="15"/>
  <c r="Y69" i="15"/>
  <c r="L77" i="15"/>
  <c r="J75" i="15"/>
  <c r="Z66" i="15"/>
  <c r="X69" i="15"/>
  <c r="M75" i="15"/>
  <c r="N75" i="15" s="1"/>
  <c r="X58" i="15"/>
  <c r="J51" i="15"/>
  <c r="D77" i="15"/>
  <c r="Y58" i="15"/>
  <c r="N58" i="15"/>
  <c r="N56" i="15"/>
  <c r="Q75" i="15"/>
  <c r="F69" i="15"/>
  <c r="Y72" i="15"/>
  <c r="E77" i="15"/>
  <c r="Z12" i="9"/>
  <c r="P60" i="9"/>
  <c r="Y10" i="9"/>
  <c r="D60" i="9"/>
  <c r="D68" i="9" s="1"/>
  <c r="N15" i="9"/>
  <c r="Z11" i="9"/>
  <c r="Z14" i="9"/>
  <c r="X26" i="9"/>
  <c r="R50" i="11"/>
  <c r="J70" i="11"/>
  <c r="Z69" i="11"/>
  <c r="F70" i="11"/>
  <c r="V22" i="11"/>
  <c r="J15" i="11"/>
  <c r="I22" i="11"/>
  <c r="J22" i="11" s="1"/>
  <c r="Q22" i="11"/>
  <c r="Q27" i="11"/>
  <c r="R27" i="11" s="1"/>
  <c r="V50" i="11"/>
  <c r="F59" i="11"/>
  <c r="X20" i="11"/>
  <c r="N15" i="11"/>
  <c r="P22" i="11"/>
  <c r="N43" i="11"/>
  <c r="T43" i="11"/>
  <c r="V43" i="11" s="1"/>
  <c r="V27" i="11"/>
  <c r="J50" i="11"/>
  <c r="R73" i="11"/>
  <c r="Z73" i="11" s="1"/>
  <c r="J79" i="11"/>
  <c r="I81" i="11"/>
  <c r="N70" i="11"/>
  <c r="Y70" i="11"/>
  <c r="M79" i="11"/>
  <c r="M81" i="11" s="1"/>
  <c r="N81" i="11" s="1"/>
  <c r="X70" i="11"/>
  <c r="Q79" i="11"/>
  <c r="Q81" i="11" s="1"/>
  <c r="D81" i="11"/>
  <c r="T81" i="11"/>
  <c r="H81" i="11"/>
  <c r="F58" i="9"/>
  <c r="Y65" i="9"/>
  <c r="I58" i="9"/>
  <c r="Q58" i="9"/>
  <c r="R58" i="9" s="1"/>
  <c r="T60" i="9"/>
  <c r="Z77" i="9"/>
  <c r="V86" i="9"/>
  <c r="X23" i="9"/>
  <c r="Y18" i="9"/>
  <c r="Y57" i="9"/>
  <c r="F15" i="9"/>
  <c r="M58" i="9"/>
  <c r="N58" i="9" s="1"/>
  <c r="Z82" i="9"/>
  <c r="T88" i="9"/>
  <c r="Q27" i="9"/>
  <c r="R27" i="9" s="1"/>
  <c r="N79" i="9"/>
  <c r="R84" i="9"/>
  <c r="Z84" i="9" s="1"/>
  <c r="X83" i="9"/>
  <c r="M83" i="9"/>
  <c r="M86" i="9" s="1"/>
  <c r="N86" i="9" s="1"/>
  <c r="Q83" i="9"/>
  <c r="R83" i="9" s="1"/>
  <c r="P86" i="9"/>
  <c r="P88" i="9" s="1"/>
  <c r="J85" i="9"/>
  <c r="Z85" i="9" s="1"/>
  <c r="I86" i="9"/>
  <c r="I88" i="9" s="1"/>
  <c r="R79" i="9"/>
  <c r="J79" i="9"/>
  <c r="Y79" i="9"/>
  <c r="Z78" i="9"/>
  <c r="F79" i="9"/>
  <c r="R15" i="9"/>
  <c r="H60" i="9"/>
  <c r="H68" i="9" s="1"/>
  <c r="X79" i="9"/>
  <c r="Z28" i="15"/>
  <c r="Y18" i="15"/>
  <c r="F15" i="15"/>
  <c r="Z10" i="15"/>
  <c r="Z11" i="15"/>
  <c r="Z14" i="15"/>
  <c r="J15" i="15"/>
  <c r="R15" i="15"/>
  <c r="M24" i="15"/>
  <c r="N24" i="15" s="1"/>
  <c r="R51" i="15"/>
  <c r="N15" i="15"/>
  <c r="V15" i="15"/>
  <c r="F24" i="15"/>
  <c r="F51" i="15"/>
  <c r="N51" i="15"/>
  <c r="V51" i="15"/>
  <c r="I24" i="15"/>
  <c r="J24" i="15" s="1"/>
  <c r="P24" i="15"/>
  <c r="Z12" i="15"/>
  <c r="X15" i="15"/>
  <c r="Y15" i="15"/>
  <c r="Z18" i="15"/>
  <c r="V24" i="15"/>
  <c r="Y39" i="15"/>
  <c r="J39" i="15"/>
  <c r="R39" i="15"/>
  <c r="V28" i="15"/>
  <c r="Z42" i="15"/>
  <c r="Y51" i="15"/>
  <c r="X51" i="15"/>
  <c r="X27" i="15"/>
  <c r="T39" i="15"/>
  <c r="V39" i="15" s="1"/>
  <c r="Z42" i="11"/>
  <c r="Z40" i="11"/>
  <c r="Z37" i="11"/>
  <c r="Z33" i="11"/>
  <c r="Z12" i="11"/>
  <c r="X19" i="11"/>
  <c r="Z39" i="11"/>
  <c r="Z36" i="11"/>
  <c r="Z10" i="11"/>
  <c r="J21" i="11"/>
  <c r="Z21" i="11" s="1"/>
  <c r="Z38" i="11"/>
  <c r="Z25" i="11"/>
  <c r="R25" i="11"/>
  <c r="X30" i="11"/>
  <c r="X43" i="11" s="1"/>
  <c r="V31" i="11"/>
  <c r="Z31" i="11"/>
  <c r="X18" i="11"/>
  <c r="Z11" i="11"/>
  <c r="Z18" i="11"/>
  <c r="Z14" i="11"/>
  <c r="Y15" i="9"/>
  <c r="Z18" i="9"/>
  <c r="V7" i="9"/>
  <c r="U58" i="9"/>
  <c r="I23" i="9"/>
  <c r="J23" i="9" s="1"/>
  <c r="Z23" i="9" s="1"/>
  <c r="J24" i="9"/>
  <c r="Z24" i="9" s="1"/>
  <c r="J22" i="9"/>
  <c r="Z22" i="9" s="1"/>
  <c r="P68" i="9" l="1"/>
  <c r="T68" i="9"/>
  <c r="T7" i="11" s="1"/>
  <c r="T52" i="11" s="1"/>
  <c r="Z7" i="9"/>
  <c r="M27" i="9"/>
  <c r="N27" i="9" s="1"/>
  <c r="N26" i="9"/>
  <c r="Z26" i="9" s="1"/>
  <c r="F88" i="9"/>
  <c r="V81" i="11"/>
  <c r="X75" i="15"/>
  <c r="R75" i="15"/>
  <c r="Z75" i="15" s="1"/>
  <c r="Y59" i="11"/>
  <c r="Z59" i="11" s="1"/>
  <c r="N22" i="11"/>
  <c r="N19" i="11"/>
  <c r="Z19" i="11" s="1"/>
  <c r="Z43" i="11"/>
  <c r="J81" i="11"/>
  <c r="F60" i="9"/>
  <c r="R81" i="11"/>
  <c r="Y19" i="11"/>
  <c r="Z51" i="15"/>
  <c r="F77" i="15"/>
  <c r="Z70" i="11"/>
  <c r="J88" i="9"/>
  <c r="V88" i="9"/>
  <c r="F68" i="9"/>
  <c r="Q66" i="9"/>
  <c r="R66" i="9" s="1"/>
  <c r="R22" i="11"/>
  <c r="M77" i="15"/>
  <c r="N77" i="15" s="1"/>
  <c r="Z58" i="15"/>
  <c r="Q77" i="15"/>
  <c r="Y75" i="15"/>
  <c r="X77" i="15"/>
  <c r="Z69" i="15"/>
  <c r="Z30" i="11"/>
  <c r="Y81" i="11"/>
  <c r="R79" i="11"/>
  <c r="F81" i="11"/>
  <c r="X81" i="11"/>
  <c r="N79" i="11"/>
  <c r="Y79" i="11"/>
  <c r="Q60" i="9"/>
  <c r="M88" i="9"/>
  <c r="N88" i="9" s="1"/>
  <c r="X88" i="9"/>
  <c r="N83" i="9"/>
  <c r="Z83" i="9" s="1"/>
  <c r="X86" i="9"/>
  <c r="Q86" i="9"/>
  <c r="Q88" i="9" s="1"/>
  <c r="Y83" i="9"/>
  <c r="J86" i="9"/>
  <c r="Z79" i="9"/>
  <c r="J58" i="9"/>
  <c r="L7" i="11"/>
  <c r="Y23" i="9"/>
  <c r="I27" i="9"/>
  <c r="X60" i="9"/>
  <c r="U60" i="9"/>
  <c r="U68" i="9" s="1"/>
  <c r="V58" i="9"/>
  <c r="E7" i="11"/>
  <c r="Z15" i="15"/>
  <c r="X24" i="15"/>
  <c r="Q24" i="15"/>
  <c r="X39" i="15"/>
  <c r="Z39" i="15" s="1"/>
  <c r="Z27" i="15"/>
  <c r="X27" i="9"/>
  <c r="X46" i="9"/>
  <c r="X58" i="9"/>
  <c r="Z15" i="9"/>
  <c r="Y46" i="9"/>
  <c r="Y58" i="9"/>
  <c r="X66" i="9"/>
  <c r="T61" i="11" l="1"/>
  <c r="T7" i="15" s="1"/>
  <c r="T53" i="15" s="1"/>
  <c r="R60" i="9"/>
  <c r="Q68" i="9"/>
  <c r="Q7" i="11" s="1"/>
  <c r="M60" i="9"/>
  <c r="Y27" i="9"/>
  <c r="Z79" i="11"/>
  <c r="Z81" i="11"/>
  <c r="Y77" i="15"/>
  <c r="D7" i="11"/>
  <c r="D52" i="11" s="1"/>
  <c r="D61" i="11" s="1"/>
  <c r="L52" i="11"/>
  <c r="L61" i="11" s="1"/>
  <c r="E52" i="11"/>
  <c r="E61" i="11" s="1"/>
  <c r="P7" i="11"/>
  <c r="R77" i="15"/>
  <c r="Z77" i="15" s="1"/>
  <c r="Y86" i="9"/>
  <c r="R86" i="9"/>
  <c r="Z86" i="9" s="1"/>
  <c r="I60" i="9"/>
  <c r="I68" i="9" s="1"/>
  <c r="J27" i="9"/>
  <c r="Z27" i="9" s="1"/>
  <c r="H7" i="11"/>
  <c r="H52" i="11" s="1"/>
  <c r="H61" i="11" s="1"/>
  <c r="V60" i="9"/>
  <c r="X68" i="9"/>
  <c r="R24" i="15"/>
  <c r="Z24" i="15" s="1"/>
  <c r="Y24" i="15"/>
  <c r="Y66" i="9"/>
  <c r="Z46" i="9"/>
  <c r="T60" i="15" l="1"/>
  <c r="T7" i="22" s="1"/>
  <c r="T56" i="22" s="1"/>
  <c r="T63" i="22" s="1"/>
  <c r="T7" i="23" s="1"/>
  <c r="T43" i="23" s="1"/>
  <c r="T52" i="23" s="1"/>
  <c r="N60" i="9"/>
  <c r="M68" i="9"/>
  <c r="M7" i="11" s="1"/>
  <c r="M52" i="11" s="1"/>
  <c r="M61" i="11" s="1"/>
  <c r="E7" i="15"/>
  <c r="E53" i="15" s="1"/>
  <c r="F7" i="11"/>
  <c r="P52" i="11"/>
  <c r="P61" i="11" s="1"/>
  <c r="Q52" i="11"/>
  <c r="Q61" i="11" s="1"/>
  <c r="R68" i="9"/>
  <c r="Y88" i="9"/>
  <c r="R88" i="9"/>
  <c r="Z88" i="9" s="1"/>
  <c r="F52" i="11"/>
  <c r="F61" i="11" s="1"/>
  <c r="L7" i="15"/>
  <c r="U7" i="11"/>
  <c r="U52" i="11" s="1"/>
  <c r="U61" i="11" s="1"/>
  <c r="V68" i="9"/>
  <c r="Y60" i="9"/>
  <c r="J60" i="9"/>
  <c r="Y15" i="11"/>
  <c r="X7" i="11"/>
  <c r="Z66" i="9"/>
  <c r="Z58" i="9"/>
  <c r="Z60" i="9" l="1"/>
  <c r="E60" i="15"/>
  <c r="E7" i="22" s="1"/>
  <c r="E56" i="22" s="1"/>
  <c r="E63" i="22" s="1"/>
  <c r="E7" i="23" s="1"/>
  <c r="N68" i="9"/>
  <c r="X52" i="11"/>
  <c r="P7" i="15"/>
  <c r="N7" i="11"/>
  <c r="R7" i="11"/>
  <c r="I7" i="11"/>
  <c r="Y68" i="9"/>
  <c r="J68" i="9"/>
  <c r="L53" i="15"/>
  <c r="D7" i="15"/>
  <c r="V7" i="11"/>
  <c r="H7" i="15"/>
  <c r="Y22" i="11"/>
  <c r="F15" i="11"/>
  <c r="Z15" i="11" s="1"/>
  <c r="X15" i="11"/>
  <c r="L60" i="15" l="1"/>
  <c r="L7" i="22" s="1"/>
  <c r="L56" i="22" s="1"/>
  <c r="L63" i="22" s="1"/>
  <c r="Z68" i="9"/>
  <c r="T7" i="24"/>
  <c r="E43" i="23"/>
  <c r="E52" i="23" s="1"/>
  <c r="I52" i="11"/>
  <c r="I61" i="11" s="1"/>
  <c r="Y7" i="11"/>
  <c r="P53" i="15"/>
  <c r="M7" i="15"/>
  <c r="N52" i="11"/>
  <c r="N61" i="11" s="1"/>
  <c r="R52" i="11"/>
  <c r="R61" i="11" s="1"/>
  <c r="H53" i="15"/>
  <c r="D53" i="15"/>
  <c r="F7" i="15"/>
  <c r="X7" i="15"/>
  <c r="J7" i="11"/>
  <c r="U7" i="15"/>
  <c r="V52" i="11"/>
  <c r="V61" i="11" s="1"/>
  <c r="X61" i="11"/>
  <c r="Z22" i="11"/>
  <c r="X22" i="11"/>
  <c r="D60" i="15" l="1"/>
  <c r="D7" i="22" s="1"/>
  <c r="P60" i="15"/>
  <c r="P7" i="22" s="1"/>
  <c r="P56" i="22" s="1"/>
  <c r="P63" i="22" s="1"/>
  <c r="H60" i="15"/>
  <c r="H7" i="22" s="1"/>
  <c r="H56" i="22" s="1"/>
  <c r="T51" i="24"/>
  <c r="T57" i="24" s="1"/>
  <c r="E7" i="24"/>
  <c r="E51" i="24" s="1"/>
  <c r="E57" i="24" s="1"/>
  <c r="L7" i="23"/>
  <c r="L43" i="23" s="1"/>
  <c r="L52" i="23" s="1"/>
  <c r="Q7" i="15"/>
  <c r="M53" i="15"/>
  <c r="M60" i="15" s="1"/>
  <c r="N7" i="15"/>
  <c r="Z7" i="11"/>
  <c r="U53" i="15"/>
  <c r="U60" i="15" s="1"/>
  <c r="V7" i="15"/>
  <c r="Y52" i="11"/>
  <c r="Z52" i="11" s="1"/>
  <c r="J52" i="11"/>
  <c r="J61" i="11" s="1"/>
  <c r="F53" i="15"/>
  <c r="X53" i="15"/>
  <c r="Y27" i="11"/>
  <c r="F60" i="15" l="1"/>
  <c r="X60" i="15"/>
  <c r="H63" i="22"/>
  <c r="H7" i="23" s="1"/>
  <c r="H43" i="23" s="1"/>
  <c r="H52" i="23" s="1"/>
  <c r="D56" i="22"/>
  <c r="D63" i="22" s="1"/>
  <c r="X7" i="22"/>
  <c r="T7" i="25"/>
  <c r="L7" i="24"/>
  <c r="Q53" i="15"/>
  <c r="F7" i="22"/>
  <c r="P7" i="23"/>
  <c r="R7" i="15"/>
  <c r="V53" i="15"/>
  <c r="U7" i="22"/>
  <c r="U56" i="22" s="1"/>
  <c r="U63" i="22" s="1"/>
  <c r="N53" i="15"/>
  <c r="M7" i="22"/>
  <c r="M56" i="22" s="1"/>
  <c r="M63" i="22" s="1"/>
  <c r="I7" i="15"/>
  <c r="Y61" i="11"/>
  <c r="Y50" i="11"/>
  <c r="F27" i="11"/>
  <c r="X27" i="11"/>
  <c r="Z27" i="11" s="1"/>
  <c r="R53" i="15" l="1"/>
  <c r="Q60" i="15"/>
  <c r="L51" i="24"/>
  <c r="T55" i="25"/>
  <c r="T61" i="25" s="1"/>
  <c r="E7" i="25"/>
  <c r="E55" i="25" s="1"/>
  <c r="P43" i="23"/>
  <c r="P52" i="23" s="1"/>
  <c r="H7" i="24"/>
  <c r="H51" i="24" s="1"/>
  <c r="H57" i="24" s="1"/>
  <c r="V60" i="15"/>
  <c r="N60" i="15"/>
  <c r="Z61" i="11"/>
  <c r="I53" i="15"/>
  <c r="I60" i="15" s="1"/>
  <c r="Y7" i="15"/>
  <c r="J7" i="15"/>
  <c r="F43" i="11"/>
  <c r="E61" i="25" l="1"/>
  <c r="E7" i="26" s="1"/>
  <c r="E57" i="26" s="1"/>
  <c r="E63" i="26" s="1"/>
  <c r="L57" i="24"/>
  <c r="L7" i="25" s="1"/>
  <c r="L55" i="25" s="1"/>
  <c r="L61" i="25" s="1"/>
  <c r="L7" i="26" s="1"/>
  <c r="L57" i="26" s="1"/>
  <c r="L63" i="26" s="1"/>
  <c r="T7" i="26"/>
  <c r="T57" i="26" s="1"/>
  <c r="T63" i="26" s="1"/>
  <c r="H7" i="25"/>
  <c r="R60" i="15"/>
  <c r="Q7" i="22"/>
  <c r="Q56" i="22" s="1"/>
  <c r="Q63" i="22" s="1"/>
  <c r="P7" i="24"/>
  <c r="P51" i="24" s="1"/>
  <c r="P57" i="24" s="1"/>
  <c r="I7" i="22"/>
  <c r="V7" i="22"/>
  <c r="N7" i="22"/>
  <c r="Z7" i="15"/>
  <c r="Y53" i="15"/>
  <c r="Z53" i="15" s="1"/>
  <c r="J53" i="15"/>
  <c r="F50" i="11"/>
  <c r="X50" i="11"/>
  <c r="Z50" i="11" s="1"/>
  <c r="H55" i="25" l="1"/>
  <c r="H61" i="25" s="1"/>
  <c r="I56" i="22"/>
  <c r="J7" i="22"/>
  <c r="Y60" i="15"/>
  <c r="Z60" i="15" s="1"/>
  <c r="R7" i="22"/>
  <c r="Y7" i="22"/>
  <c r="J60" i="15"/>
  <c r="V56" i="22"/>
  <c r="N56" i="22"/>
  <c r="Q7" i="23"/>
  <c r="R56" i="22"/>
  <c r="Y56" i="22" l="1"/>
  <c r="I63" i="22"/>
  <c r="I7" i="23" s="1"/>
  <c r="J56" i="22"/>
  <c r="E7" i="28"/>
  <c r="T7" i="28"/>
  <c r="T59" i="28" s="1"/>
  <c r="T68" i="28" s="1"/>
  <c r="L7" i="28"/>
  <c r="L59" i="28" s="1"/>
  <c r="L68" i="28" s="1"/>
  <c r="H7" i="26"/>
  <c r="P7" i="25"/>
  <c r="Z7" i="22"/>
  <c r="N63" i="22"/>
  <c r="M7" i="23"/>
  <c r="V63" i="22"/>
  <c r="U7" i="23"/>
  <c r="Q43" i="23"/>
  <c r="Q52" i="23" s="1"/>
  <c r="R7" i="23"/>
  <c r="R63" i="22"/>
  <c r="J63" i="22" l="1"/>
  <c r="E59" i="28"/>
  <c r="H57" i="26"/>
  <c r="H63" i="26" s="1"/>
  <c r="Y63" i="22"/>
  <c r="P55" i="25"/>
  <c r="R43" i="23"/>
  <c r="U43" i="23"/>
  <c r="U52" i="23" s="1"/>
  <c r="V7" i="23"/>
  <c r="N7" i="23"/>
  <c r="M43" i="23"/>
  <c r="M52" i="23" s="1"/>
  <c r="I43" i="23"/>
  <c r="I52" i="23" s="1"/>
  <c r="Y7" i="23"/>
  <c r="J7" i="23"/>
  <c r="P61" i="25" l="1"/>
  <c r="P7" i="26" s="1"/>
  <c r="P57" i="26" s="1"/>
  <c r="P63" i="26" s="1"/>
  <c r="E68" i="28"/>
  <c r="E7" i="29" s="1"/>
  <c r="T7" i="29"/>
  <c r="L7" i="29"/>
  <c r="H7" i="28"/>
  <c r="R52" i="23"/>
  <c r="Q7" i="24"/>
  <c r="Q51" i="24" s="1"/>
  <c r="Q57" i="24" s="1"/>
  <c r="N43" i="23"/>
  <c r="V43" i="23"/>
  <c r="I7" i="24"/>
  <c r="I51" i="24" s="1"/>
  <c r="I57" i="24" s="1"/>
  <c r="Y43" i="23"/>
  <c r="J43" i="23"/>
  <c r="E50" i="29" l="1"/>
  <c r="L50" i="29"/>
  <c r="L58" i="29" s="1"/>
  <c r="H59" i="28"/>
  <c r="T50" i="29"/>
  <c r="T58" i="29" s="1"/>
  <c r="P7" i="28"/>
  <c r="P59" i="28" s="1"/>
  <c r="P68" i="28" s="1"/>
  <c r="V52" i="23"/>
  <c r="U7" i="24"/>
  <c r="N52" i="23"/>
  <c r="M7" i="24"/>
  <c r="M51" i="24" s="1"/>
  <c r="M57" i="24" s="1"/>
  <c r="J7" i="24"/>
  <c r="R7" i="24"/>
  <c r="Y52" i="23"/>
  <c r="J52" i="23"/>
  <c r="H68" i="28" l="1"/>
  <c r="H7" i="29" s="1"/>
  <c r="E58" i="29"/>
  <c r="E7" i="30" s="1"/>
  <c r="T7" i="30"/>
  <c r="L7" i="30"/>
  <c r="U51" i="24"/>
  <c r="V7" i="24"/>
  <c r="Y7" i="24"/>
  <c r="N7" i="24"/>
  <c r="J51" i="24"/>
  <c r="Q7" i="25"/>
  <c r="R51" i="24"/>
  <c r="F54" i="22"/>
  <c r="F56" i="22"/>
  <c r="Y51" i="24" l="1"/>
  <c r="U57" i="24"/>
  <c r="E54" i="30"/>
  <c r="E62" i="30" s="1"/>
  <c r="E7" i="31" s="1"/>
  <c r="E62" i="31" s="1"/>
  <c r="H50" i="29"/>
  <c r="L54" i="30"/>
  <c r="T54" i="30"/>
  <c r="T62" i="30" s="1"/>
  <c r="P7" i="29"/>
  <c r="Q55" i="25"/>
  <c r="Q61" i="25" s="1"/>
  <c r="R7" i="25"/>
  <c r="J57" i="24"/>
  <c r="I7" i="25"/>
  <c r="V51" i="24"/>
  <c r="N51" i="24"/>
  <c r="R57" i="24"/>
  <c r="X56" i="22"/>
  <c r="Z56" i="22" s="1"/>
  <c r="D7" i="23"/>
  <c r="E71" i="31" l="1"/>
  <c r="E7" i="32" s="1"/>
  <c r="E75" i="32" s="1"/>
  <c r="L62" i="30"/>
  <c r="L7" i="31" s="1"/>
  <c r="L62" i="31" s="1"/>
  <c r="L71" i="31" s="1"/>
  <c r="H58" i="29"/>
  <c r="H7" i="30" s="1"/>
  <c r="P50" i="29"/>
  <c r="P58" i="29" s="1"/>
  <c r="T7" i="31"/>
  <c r="T62" i="31" s="1"/>
  <c r="T71" i="31" s="1"/>
  <c r="N57" i="24"/>
  <c r="M7" i="25"/>
  <c r="V57" i="24"/>
  <c r="U7" i="25"/>
  <c r="R55" i="25"/>
  <c r="I55" i="25"/>
  <c r="I61" i="25" s="1"/>
  <c r="J7" i="25"/>
  <c r="Y57" i="24"/>
  <c r="F7" i="23"/>
  <c r="Z7" i="23" s="1"/>
  <c r="X7" i="23"/>
  <c r="D43" i="23"/>
  <c r="D52" i="23" s="1"/>
  <c r="F63" i="22"/>
  <c r="X63" i="22"/>
  <c r="Z63" i="22" s="1"/>
  <c r="E82" i="32" l="1"/>
  <c r="H54" i="30"/>
  <c r="H62" i="30" s="1"/>
  <c r="H7" i="31" s="1"/>
  <c r="H62" i="31" s="1"/>
  <c r="L7" i="32"/>
  <c r="T7" i="32"/>
  <c r="P7" i="30"/>
  <c r="R61" i="25"/>
  <c r="Q7" i="26"/>
  <c r="Q57" i="26" s="1"/>
  <c r="Q63" i="26" s="1"/>
  <c r="Y7" i="25"/>
  <c r="U55" i="25"/>
  <c r="U61" i="25" s="1"/>
  <c r="V7" i="25"/>
  <c r="M55" i="25"/>
  <c r="M61" i="25" s="1"/>
  <c r="N7" i="25"/>
  <c r="I7" i="26"/>
  <c r="I57" i="26" s="1"/>
  <c r="I63" i="26" s="1"/>
  <c r="J55" i="25"/>
  <c r="D7" i="24"/>
  <c r="D51" i="24" s="1"/>
  <c r="D57" i="24" s="1"/>
  <c r="X43" i="23"/>
  <c r="Z43" i="23" s="1"/>
  <c r="F43" i="23"/>
  <c r="E7" i="41" l="1"/>
  <c r="E77" i="41" s="1"/>
  <c r="E84" i="41" s="1"/>
  <c r="E7" i="42" s="1"/>
  <c r="L75" i="32"/>
  <c r="L82" i="32" s="1"/>
  <c r="H71" i="31"/>
  <c r="H7" i="32" s="1"/>
  <c r="H75" i="32" s="1"/>
  <c r="H82" i="32" s="1"/>
  <c r="H7" i="41" s="1"/>
  <c r="T75" i="32"/>
  <c r="T82" i="32" s="1"/>
  <c r="P54" i="30"/>
  <c r="Y55" i="25"/>
  <c r="J7" i="26"/>
  <c r="R7" i="26"/>
  <c r="M7" i="26"/>
  <c r="M57" i="26" s="1"/>
  <c r="M63" i="26" s="1"/>
  <c r="N55" i="25"/>
  <c r="V55" i="25"/>
  <c r="J61" i="25"/>
  <c r="F7" i="24"/>
  <c r="Z7" i="24" s="1"/>
  <c r="X7" i="24"/>
  <c r="X52" i="23"/>
  <c r="Z52" i="23" s="1"/>
  <c r="F52" i="23"/>
  <c r="E82" i="42" l="1"/>
  <c r="T7" i="41"/>
  <c r="T77" i="41" s="1"/>
  <c r="L7" i="41"/>
  <c r="L77" i="41" s="1"/>
  <c r="H77" i="41"/>
  <c r="P62" i="30"/>
  <c r="P7" i="31" s="1"/>
  <c r="P62" i="31" s="1"/>
  <c r="N61" i="25"/>
  <c r="V61" i="25"/>
  <c r="U7" i="26"/>
  <c r="U57" i="26" s="1"/>
  <c r="U63" i="26" s="1"/>
  <c r="R57" i="26"/>
  <c r="J57" i="26"/>
  <c r="Y61" i="25"/>
  <c r="D7" i="25"/>
  <c r="F51" i="24"/>
  <c r="X51" i="24"/>
  <c r="Z51" i="24" s="1"/>
  <c r="H84" i="41" l="1"/>
  <c r="H7" i="42" s="1"/>
  <c r="H82" i="42" s="1"/>
  <c r="E90" i="42"/>
  <c r="E7" i="43" s="1"/>
  <c r="L84" i="41"/>
  <c r="L7" i="42" s="1"/>
  <c r="L82" i="42" s="1"/>
  <c r="T84" i="41"/>
  <c r="T7" i="42" s="1"/>
  <c r="T82" i="42" s="1"/>
  <c r="P71" i="31"/>
  <c r="P7" i="32" s="1"/>
  <c r="I7" i="28"/>
  <c r="I59" i="28" s="1"/>
  <c r="I68" i="28" s="1"/>
  <c r="R63" i="26"/>
  <c r="Q7" i="28"/>
  <c r="Q59" i="28" s="1"/>
  <c r="Q68" i="28" s="1"/>
  <c r="V7" i="26"/>
  <c r="N7" i="26"/>
  <c r="Y7" i="26"/>
  <c r="J63" i="26"/>
  <c r="D55" i="25"/>
  <c r="D61" i="25" s="1"/>
  <c r="F7" i="25"/>
  <c r="Z7" i="25" s="1"/>
  <c r="X7" i="25"/>
  <c r="F57" i="24"/>
  <c r="X57" i="24"/>
  <c r="Z57" i="24" s="1"/>
  <c r="AB57" i="24" s="1"/>
  <c r="E75" i="43" l="1"/>
  <c r="P75" i="32"/>
  <c r="P82" i="32" s="1"/>
  <c r="J7" i="28"/>
  <c r="R7" i="28"/>
  <c r="J59" i="28"/>
  <c r="I7" i="29"/>
  <c r="N57" i="26"/>
  <c r="Y57" i="26"/>
  <c r="V57" i="26"/>
  <c r="D7" i="26"/>
  <c r="D57" i="26" s="1"/>
  <c r="D63" i="26" s="1"/>
  <c r="F55" i="25"/>
  <c r="X55" i="25"/>
  <c r="Z55" i="25" s="1"/>
  <c r="P7" i="41" l="1"/>
  <c r="E87" i="43"/>
  <c r="E7" i="44" s="1"/>
  <c r="L90" i="42"/>
  <c r="L7" i="43" s="1"/>
  <c r="T90" i="42"/>
  <c r="T7" i="43" s="1"/>
  <c r="H90" i="42"/>
  <c r="H7" i="43" s="1"/>
  <c r="M7" i="28"/>
  <c r="M59" i="28" s="1"/>
  <c r="M68" i="28" s="1"/>
  <c r="I50" i="29"/>
  <c r="I58" i="29" s="1"/>
  <c r="J7" i="29"/>
  <c r="V63" i="26"/>
  <c r="U7" i="28"/>
  <c r="U59" i="28" s="1"/>
  <c r="U68" i="28" s="1"/>
  <c r="R59" i="28"/>
  <c r="J68" i="28"/>
  <c r="N63" i="26"/>
  <c r="Y63" i="26"/>
  <c r="X7" i="26"/>
  <c r="F7" i="26"/>
  <c r="Z7" i="26" s="1"/>
  <c r="D7" i="28"/>
  <c r="D59" i="28" s="1"/>
  <c r="D68" i="28" s="1"/>
  <c r="F61" i="25"/>
  <c r="X61" i="25"/>
  <c r="Z61" i="25" s="1"/>
  <c r="E74" i="44" l="1"/>
  <c r="P77" i="41"/>
  <c r="P84" i="41" s="1"/>
  <c r="P7" i="42" s="1"/>
  <c r="P82" i="42" s="1"/>
  <c r="L75" i="43"/>
  <c r="T75" i="43"/>
  <c r="H75" i="43"/>
  <c r="N7" i="28"/>
  <c r="Y7" i="28"/>
  <c r="R68" i="28"/>
  <c r="Q7" i="29"/>
  <c r="I7" i="30"/>
  <c r="J50" i="29"/>
  <c r="V7" i="28"/>
  <c r="M7" i="29"/>
  <c r="N59" i="28"/>
  <c r="X7" i="28"/>
  <c r="F7" i="28"/>
  <c r="F57" i="26"/>
  <c r="X57" i="26"/>
  <c r="Z57" i="26" s="1"/>
  <c r="E80" i="44" l="1"/>
  <c r="E7" i="45" s="1"/>
  <c r="T87" i="43"/>
  <c r="T7" i="44" s="1"/>
  <c r="H87" i="43"/>
  <c r="H7" i="44" s="1"/>
  <c r="H74" i="44" s="1"/>
  <c r="H80" i="44" s="1"/>
  <c r="H7" i="45" s="1"/>
  <c r="L87" i="43"/>
  <c r="Q50" i="29"/>
  <c r="Q58" i="29" s="1"/>
  <c r="J7" i="30"/>
  <c r="I54" i="30"/>
  <c r="I62" i="30" s="1"/>
  <c r="J58" i="29"/>
  <c r="M50" i="29"/>
  <c r="M58" i="29" s="1"/>
  <c r="N7" i="29"/>
  <c r="R7" i="29"/>
  <c r="Z7" i="28"/>
  <c r="V59" i="28"/>
  <c r="Y59" i="28"/>
  <c r="N68" i="28"/>
  <c r="X59" i="28"/>
  <c r="D7" i="29"/>
  <c r="F59" i="28"/>
  <c r="F63" i="26"/>
  <c r="X63" i="26"/>
  <c r="Z63" i="26" s="1"/>
  <c r="H39" i="45" l="1"/>
  <c r="E39" i="45"/>
  <c r="L7" i="44"/>
  <c r="L74" i="44" s="1"/>
  <c r="L80" i="44" s="1"/>
  <c r="L7" i="45" s="1"/>
  <c r="T74" i="44"/>
  <c r="P90" i="42"/>
  <c r="P7" i="43" s="1"/>
  <c r="J54" i="30"/>
  <c r="M7" i="30"/>
  <c r="N50" i="29"/>
  <c r="F7" i="29"/>
  <c r="X7" i="29"/>
  <c r="D50" i="29"/>
  <c r="D58" i="29" s="1"/>
  <c r="R50" i="29"/>
  <c r="V68" i="28"/>
  <c r="U7" i="29"/>
  <c r="Y68" i="28"/>
  <c r="Z59" i="28"/>
  <c r="X68" i="28"/>
  <c r="F68" i="28"/>
  <c r="E45" i="45" l="1"/>
  <c r="H45" i="45"/>
  <c r="L39" i="45"/>
  <c r="T80" i="44"/>
  <c r="T7" i="45" s="1"/>
  <c r="P75" i="43"/>
  <c r="J62" i="30"/>
  <c r="I7" i="31"/>
  <c r="I62" i="31" s="1"/>
  <c r="N7" i="30"/>
  <c r="M54" i="30"/>
  <c r="M62" i="30" s="1"/>
  <c r="R58" i="29"/>
  <c r="Q7" i="30"/>
  <c r="D7" i="30"/>
  <c r="X50" i="29"/>
  <c r="F50" i="29"/>
  <c r="U50" i="29"/>
  <c r="U58" i="29" s="1"/>
  <c r="V7" i="29"/>
  <c r="Y7" i="29"/>
  <c r="N58" i="29"/>
  <c r="Z68" i="28"/>
  <c r="T39" i="45" l="1"/>
  <c r="L45" i="45"/>
  <c r="P87" i="43"/>
  <c r="I71" i="31"/>
  <c r="Z7" i="29"/>
  <c r="J7" i="31"/>
  <c r="D54" i="30"/>
  <c r="D62" i="30" s="1"/>
  <c r="F7" i="30"/>
  <c r="X7" i="30"/>
  <c r="N54" i="30"/>
  <c r="R7" i="30"/>
  <c r="Q54" i="30"/>
  <c r="Q62" i="30" s="1"/>
  <c r="U7" i="30"/>
  <c r="V50" i="29"/>
  <c r="Y50" i="29"/>
  <c r="Z50" i="29" s="1"/>
  <c r="X58" i="29"/>
  <c r="F58" i="29"/>
  <c r="T45" i="45" l="1"/>
  <c r="P7" i="44"/>
  <c r="P74" i="44" s="1"/>
  <c r="Y7" i="30"/>
  <c r="N62" i="30"/>
  <c r="M7" i="31"/>
  <c r="M62" i="31" s="1"/>
  <c r="J62" i="31"/>
  <c r="D7" i="31"/>
  <c r="F54" i="30"/>
  <c r="X54" i="30"/>
  <c r="U54" i="30"/>
  <c r="U62" i="30" s="1"/>
  <c r="V7" i="30"/>
  <c r="Q7" i="31"/>
  <c r="Q62" i="31" s="1"/>
  <c r="R54" i="30"/>
  <c r="V58" i="29"/>
  <c r="Y58" i="29"/>
  <c r="Z58" i="29" s="1"/>
  <c r="P80" i="44" l="1"/>
  <c r="P7" i="45" s="1"/>
  <c r="D62" i="31"/>
  <c r="D71" i="31" s="1"/>
  <c r="M71" i="31"/>
  <c r="Q71" i="31"/>
  <c r="Z7" i="30"/>
  <c r="J71" i="31"/>
  <c r="I7" i="32"/>
  <c r="X7" i="31"/>
  <c r="F7" i="31"/>
  <c r="N7" i="31"/>
  <c r="R7" i="31"/>
  <c r="F62" i="30"/>
  <c r="X62" i="30"/>
  <c r="V54" i="30"/>
  <c r="Y54" i="30"/>
  <c r="Z54" i="30" s="1"/>
  <c r="R62" i="30"/>
  <c r="P39" i="45" l="1"/>
  <c r="I75" i="32"/>
  <c r="J7" i="32"/>
  <c r="D7" i="32"/>
  <c r="D75" i="32" s="1"/>
  <c r="X62" i="31"/>
  <c r="F62" i="31"/>
  <c r="V62" i="30"/>
  <c r="U7" i="31"/>
  <c r="U62" i="31" s="1"/>
  <c r="U71" i="31" s="1"/>
  <c r="N62" i="31"/>
  <c r="Q7" i="32"/>
  <c r="Q75" i="32" s="1"/>
  <c r="R62" i="31"/>
  <c r="Y62" i="30"/>
  <c r="Z62" i="30" s="1"/>
  <c r="P45" i="45" l="1"/>
  <c r="X7" i="32"/>
  <c r="D82" i="32"/>
  <c r="I82" i="32"/>
  <c r="R7" i="32"/>
  <c r="F7" i="32"/>
  <c r="N71" i="31"/>
  <c r="M7" i="32"/>
  <c r="J75" i="32"/>
  <c r="V7" i="31"/>
  <c r="Z7" i="31" s="1"/>
  <c r="Y7" i="31"/>
  <c r="X71" i="31"/>
  <c r="F71" i="31"/>
  <c r="R71" i="31"/>
  <c r="D7" i="41" l="1"/>
  <c r="D77" i="41" s="1"/>
  <c r="I7" i="41"/>
  <c r="I77" i="41" s="1"/>
  <c r="Q82" i="32"/>
  <c r="J82" i="32"/>
  <c r="M75" i="32"/>
  <c r="N7" i="32"/>
  <c r="X75" i="32"/>
  <c r="F75" i="32"/>
  <c r="R75" i="32"/>
  <c r="U7" i="32"/>
  <c r="V62" i="31"/>
  <c r="Y62" i="31"/>
  <c r="Z62" i="31" s="1"/>
  <c r="X7" i="41" l="1"/>
  <c r="F7" i="41"/>
  <c r="I84" i="41"/>
  <c r="I7" i="42" s="1"/>
  <c r="J77" i="41"/>
  <c r="J7" i="41"/>
  <c r="Q7" i="41"/>
  <c r="R82" i="32"/>
  <c r="M82" i="32"/>
  <c r="M7" i="41" s="1"/>
  <c r="X77" i="41"/>
  <c r="D84" i="41"/>
  <c r="D7" i="42" s="1"/>
  <c r="D82" i="42" s="1"/>
  <c r="F77" i="41"/>
  <c r="X82" i="32"/>
  <c r="F82" i="32"/>
  <c r="U75" i="32"/>
  <c r="U82" i="32" s="1"/>
  <c r="V7" i="32"/>
  <c r="Z7" i="32" s="1"/>
  <c r="N75" i="32"/>
  <c r="Y7" i="32"/>
  <c r="V71" i="31"/>
  <c r="Y71" i="31"/>
  <c r="Z71" i="31" s="1"/>
  <c r="J84" i="41" l="1"/>
  <c r="X82" i="42"/>
  <c r="D90" i="42"/>
  <c r="J7" i="42"/>
  <c r="I82" i="42"/>
  <c r="I90" i="42" s="1"/>
  <c r="I7" i="43" s="1"/>
  <c r="U7" i="41"/>
  <c r="U77" i="41" s="1"/>
  <c r="R7" i="41"/>
  <c r="Q77" i="41"/>
  <c r="N7" i="41"/>
  <c r="M77" i="41"/>
  <c r="X7" i="42"/>
  <c r="F7" i="42"/>
  <c r="X84" i="41"/>
  <c r="F84" i="41"/>
  <c r="N82" i="32"/>
  <c r="V82" i="32"/>
  <c r="V75" i="32"/>
  <c r="Y75" i="32"/>
  <c r="Z75" i="32" s="1"/>
  <c r="V7" i="41" l="1"/>
  <c r="Z7" i="41" s="1"/>
  <c r="Y7" i="41"/>
  <c r="J82" i="42"/>
  <c r="Q84" i="41"/>
  <c r="Q7" i="42" s="1"/>
  <c r="Q82" i="42" s="1"/>
  <c r="R77" i="41"/>
  <c r="M84" i="41"/>
  <c r="I75" i="43"/>
  <c r="J7" i="43"/>
  <c r="N77" i="41"/>
  <c r="J90" i="42"/>
  <c r="D7" i="43"/>
  <c r="F82" i="42"/>
  <c r="U84" i="41"/>
  <c r="U7" i="42" s="1"/>
  <c r="U82" i="42" s="1"/>
  <c r="V77" i="41"/>
  <c r="Y77" i="41"/>
  <c r="Z77" i="41" s="1"/>
  <c r="Y82" i="32"/>
  <c r="Z82" i="32" s="1"/>
  <c r="M7" i="42" l="1"/>
  <c r="Y7" i="42" s="1"/>
  <c r="R84" i="41"/>
  <c r="N84" i="41"/>
  <c r="F7" i="43"/>
  <c r="X7" i="43"/>
  <c r="D75" i="43"/>
  <c r="D87" i="43" s="1"/>
  <c r="I87" i="43"/>
  <c r="I7" i="44" s="1"/>
  <c r="J75" i="43"/>
  <c r="X90" i="42"/>
  <c r="F90" i="42"/>
  <c r="V84" i="41"/>
  <c r="Y84" i="41"/>
  <c r="Z84" i="41" s="1"/>
  <c r="J7" i="44" l="1"/>
  <c r="I74" i="44"/>
  <c r="N7" i="42"/>
  <c r="M82" i="42"/>
  <c r="Y82" i="42" s="1"/>
  <c r="Z82" i="42" s="1"/>
  <c r="R7" i="42"/>
  <c r="X75" i="43"/>
  <c r="D7" i="44"/>
  <c r="D74" i="44" s="1"/>
  <c r="F75" i="43"/>
  <c r="J87" i="43"/>
  <c r="V7" i="42"/>
  <c r="F7" i="44" l="1"/>
  <c r="X7" i="44"/>
  <c r="I80" i="44"/>
  <c r="J74" i="44"/>
  <c r="M90" i="42"/>
  <c r="N82" i="42"/>
  <c r="Z7" i="42"/>
  <c r="Q90" i="42"/>
  <c r="R82" i="42"/>
  <c r="F87" i="43"/>
  <c r="X87" i="43"/>
  <c r="U90" i="42"/>
  <c r="U7" i="43" s="1"/>
  <c r="V82" i="42"/>
  <c r="J80" i="44" l="1"/>
  <c r="I7" i="45"/>
  <c r="D80" i="44"/>
  <c r="D7" i="45" s="1"/>
  <c r="F74" i="44"/>
  <c r="X74" i="44"/>
  <c r="Q7" i="43"/>
  <c r="Q75" i="43" s="1"/>
  <c r="Q87" i="43" s="1"/>
  <c r="M7" i="43"/>
  <c r="N90" i="42"/>
  <c r="R90" i="42"/>
  <c r="U75" i="43"/>
  <c r="V7" i="43"/>
  <c r="V90" i="42"/>
  <c r="Y90" i="42"/>
  <c r="Z90" i="42" s="1"/>
  <c r="D39" i="45" l="1"/>
  <c r="F7" i="45"/>
  <c r="X7" i="45"/>
  <c r="I39" i="45"/>
  <c r="J7" i="45"/>
  <c r="F80" i="44"/>
  <c r="X80" i="44"/>
  <c r="Y7" i="43"/>
  <c r="M75" i="43"/>
  <c r="N7" i="43"/>
  <c r="R7" i="43"/>
  <c r="U87" i="43"/>
  <c r="U7" i="44" s="1"/>
  <c r="V75" i="43"/>
  <c r="X107" i="41"/>
  <c r="F107" i="41"/>
  <c r="Z107" i="41" s="1"/>
  <c r="X109" i="41"/>
  <c r="I45" i="45" l="1"/>
  <c r="J39" i="45"/>
  <c r="F39" i="45"/>
  <c r="D45" i="45"/>
  <c r="X39" i="45"/>
  <c r="U74" i="44"/>
  <c r="V7" i="44"/>
  <c r="Y75" i="43"/>
  <c r="Z75" i="43" s="1"/>
  <c r="Z7" i="43"/>
  <c r="N75" i="43"/>
  <c r="M87" i="43"/>
  <c r="R75" i="43"/>
  <c r="V87" i="43"/>
  <c r="F109" i="41"/>
  <c r="Z109" i="41" s="1"/>
  <c r="F45" i="45" l="1"/>
  <c r="X45" i="45"/>
  <c r="J45" i="45"/>
  <c r="U80" i="44"/>
  <c r="V74" i="44"/>
  <c r="N87" i="43"/>
  <c r="M7" i="44"/>
  <c r="R87" i="43"/>
  <c r="Q7" i="44"/>
  <c r="Q74" i="44" s="1"/>
  <c r="Y87" i="43"/>
  <c r="Z87" i="43" s="1"/>
  <c r="V80" i="44" l="1"/>
  <c r="U7" i="45"/>
  <c r="N7" i="44"/>
  <c r="M74" i="44"/>
  <c r="Y7" i="44"/>
  <c r="R7" i="44"/>
  <c r="U39" i="45" l="1"/>
  <c r="V7" i="45"/>
  <c r="Z7" i="44"/>
  <c r="M80" i="44"/>
  <c r="N74" i="44"/>
  <c r="Q80" i="44"/>
  <c r="Q7" i="45" s="1"/>
  <c r="Y74" i="44"/>
  <c r="Z74" i="44" s="1"/>
  <c r="R74" i="44"/>
  <c r="N80" i="44" l="1"/>
  <c r="M7" i="45"/>
  <c r="Q39" i="45"/>
  <c r="R7" i="45"/>
  <c r="U45" i="45"/>
  <c r="V45" i="45" s="1"/>
  <c r="V39" i="45"/>
  <c r="Y80" i="44"/>
  <c r="Z80" i="44" s="1"/>
  <c r="R80" i="44"/>
  <c r="Q45" i="45" l="1"/>
  <c r="R45" i="45" s="1"/>
  <c r="R39" i="45"/>
  <c r="M39" i="45"/>
  <c r="N7" i="45"/>
  <c r="Z7" i="45" s="1"/>
  <c r="Y7" i="45"/>
  <c r="M45" i="45" l="1"/>
  <c r="N39" i="45"/>
  <c r="Y39" i="45"/>
  <c r="Z39" i="45" s="1"/>
  <c r="N45" i="45" l="1"/>
  <c r="Y45" i="45"/>
  <c r="Z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8A408642-9790-42E4-B46F-EA0D781A009F}">
      <text>
        <r>
          <rPr>
            <sz val="9"/>
            <color indexed="81"/>
            <rFont val="Tahoma"/>
            <family val="2"/>
          </rPr>
          <t xml:space="preserve">
See Cell F76 below for details.</t>
        </r>
      </text>
    </comment>
    <comment ref="H7" authorId="0" shapeId="0" xr:uid="{14561C67-CB7B-4DD3-809C-0A7B5A74A823}">
      <text>
        <r>
          <rPr>
            <sz val="9"/>
            <color indexed="81"/>
            <rFont val="Tahoma"/>
            <family val="2"/>
          </rPr>
          <t xml:space="preserve">
See Cell J76 below for details.</t>
        </r>
      </text>
    </comment>
    <comment ref="L7" authorId="0" shapeId="0" xr:uid="{A20ACF97-20FD-436E-9B72-78F08F2A9A47}">
      <text>
        <r>
          <rPr>
            <sz val="9"/>
            <color indexed="81"/>
            <rFont val="Tahoma"/>
            <family val="2"/>
          </rPr>
          <t xml:space="preserve">
See Cell N76 below for details.</t>
        </r>
      </text>
    </comment>
    <comment ref="P7" authorId="0" shapeId="0" xr:uid="{DCBB9CA9-2453-43AB-84F6-B99FF065C9BE}">
      <text>
        <r>
          <rPr>
            <sz val="9"/>
            <color indexed="81"/>
            <rFont val="Tahoma"/>
            <family val="2"/>
          </rPr>
          <t xml:space="preserve">
See Cell R76 below for details.</t>
        </r>
      </text>
    </comment>
    <comment ref="T18" authorId="0" shapeId="0" xr:uid="{BC0444E8-7009-4195-815C-B3B9D4B57E82}">
      <text>
        <r>
          <rPr>
            <b/>
            <sz val="9"/>
            <color indexed="81"/>
            <rFont val="Tahoma"/>
            <family val="2"/>
          </rPr>
          <t>Bruce:</t>
        </r>
        <r>
          <rPr>
            <sz val="9"/>
            <color indexed="81"/>
            <rFont val="Tahoma"/>
            <family val="2"/>
          </rPr>
          <t xml:space="preserve">
$19,000.00 for part time Administrative Assistant's salary and benefits ###</t>
        </r>
      </text>
    </comment>
    <comment ref="T19" authorId="0" shapeId="0" xr:uid="{9029CD04-F074-4F54-B087-778320C34D27}">
      <text>
        <r>
          <rPr>
            <b/>
            <sz val="9"/>
            <color indexed="81"/>
            <rFont val="Tahoma"/>
            <family val="2"/>
          </rPr>
          <t>Bruce:</t>
        </r>
        <r>
          <rPr>
            <sz val="9"/>
            <color indexed="81"/>
            <rFont val="Tahoma"/>
            <family val="2"/>
          </rPr>
          <t xml:space="preserve">
$4,350.00 Coalition Dues plus $6,500.00 for other committee expenses.</t>
        </r>
      </text>
    </comment>
    <comment ref="P20" authorId="0" shapeId="0" xr:uid="{67E51026-CCC4-4A32-9E1A-A25D4BAA2BB8}">
      <text>
        <r>
          <rPr>
            <b/>
            <sz val="9"/>
            <color indexed="81"/>
            <rFont val="Tahoma"/>
            <family val="2"/>
          </rPr>
          <t>Bruce:</t>
        </r>
        <r>
          <rPr>
            <sz val="9"/>
            <color indexed="81"/>
            <rFont val="Tahoma"/>
            <family val="2"/>
          </rPr>
          <t xml:space="preserve">
Estimated FY2027 principal and interest payments ####</t>
        </r>
      </text>
    </comment>
    <comment ref="P30" authorId="0" shapeId="0" xr:uid="{2278FDF4-D0FC-4ACB-A1E8-B921AB35604B}">
      <text>
        <r>
          <rPr>
            <b/>
            <sz val="9"/>
            <color indexed="81"/>
            <rFont val="Tahoma"/>
            <family val="2"/>
          </rPr>
          <t>Bruce:</t>
        </r>
        <r>
          <rPr>
            <sz val="9"/>
            <color indexed="81"/>
            <rFont val="Tahoma"/>
            <family val="2"/>
          </rPr>
          <t xml:space="preserve">
Check with Town Treasurer to get interest and principal breakdown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800-000001000000}">
      <text>
        <r>
          <rPr>
            <sz val="9"/>
            <color indexed="81"/>
            <rFont val="Tahoma"/>
            <family val="2"/>
          </rPr>
          <t>See Cell F106 below for details.</t>
        </r>
      </text>
    </comment>
    <comment ref="H7" authorId="0" shapeId="0" xr:uid="{00000000-0006-0000-0800-000002000000}">
      <text>
        <r>
          <rPr>
            <sz val="9"/>
            <color indexed="81"/>
            <rFont val="Tahoma"/>
            <family val="2"/>
          </rPr>
          <t>See Cell J109 below for details.</t>
        </r>
      </text>
    </comment>
    <comment ref="L7" authorId="0" shapeId="0" xr:uid="{00000000-0006-0000-0800-000003000000}">
      <text>
        <r>
          <rPr>
            <sz val="9"/>
            <color indexed="81"/>
            <rFont val="Tahoma"/>
            <family val="2"/>
          </rPr>
          <t>See Cell N106 below for details.</t>
        </r>
      </text>
    </comment>
    <comment ref="P7" authorId="0" shapeId="0" xr:uid="{00000000-0006-0000-0800-000004000000}">
      <text>
        <r>
          <rPr>
            <sz val="9"/>
            <color indexed="81"/>
            <rFont val="Tahoma"/>
            <family val="2"/>
          </rPr>
          <t>See Cell R107 below for details.</t>
        </r>
      </text>
    </comment>
    <comment ref="T19" authorId="0" shapeId="0" xr:uid="{00000000-0006-0000-0800-000005000000}">
      <text>
        <r>
          <rPr>
            <b/>
            <sz val="9"/>
            <color indexed="81"/>
            <rFont val="Tahoma"/>
            <family val="2"/>
          </rPr>
          <t>Bruce:</t>
        </r>
        <r>
          <rPr>
            <sz val="9"/>
            <color indexed="81"/>
            <rFont val="Tahoma"/>
            <family val="2"/>
          </rPr>
          <t xml:space="preserve">
$2,500 Coalition Dues plus $7,500.00 for other committee expenses.</t>
        </r>
      </text>
    </comment>
    <comment ref="L20" authorId="0" shapeId="0" xr:uid="{00000000-0006-0000-0800-000006000000}">
      <text>
        <r>
          <rPr>
            <b/>
            <sz val="9"/>
            <color indexed="81"/>
            <rFont val="Tahoma"/>
            <family val="2"/>
          </rPr>
          <t>Bruce:</t>
        </r>
        <r>
          <rPr>
            <sz val="9"/>
            <color indexed="81"/>
            <rFont val="Tahoma"/>
            <family val="2"/>
          </rPr>
          <t xml:space="preserve">
$80,000.00 of $476,721.88 Surrenden Farm debt service payment to be paid from Open Space Reserve</t>
        </r>
      </text>
    </comment>
    <comment ref="P20" authorId="0" shapeId="0" xr:uid="{00000000-0006-0000-0800-000007000000}">
      <text>
        <r>
          <rPr>
            <b/>
            <sz val="9"/>
            <color indexed="81"/>
            <rFont val="Tahoma"/>
            <family val="2"/>
          </rPr>
          <t xml:space="preserve">Bruce:
</t>
        </r>
        <r>
          <rPr>
            <sz val="9"/>
            <color indexed="81"/>
            <rFont val="Tahoma"/>
            <family val="2"/>
          </rPr>
          <t>$396,721.88 of $476,721.88 Surrenden Farm debt service payment to be paid from Unallocated Reserve</t>
        </r>
      </text>
    </comment>
    <comment ref="L81" authorId="0" shapeId="0" xr:uid="{00000000-0006-0000-0800-000008000000}">
      <text>
        <r>
          <rPr>
            <b/>
            <sz val="9"/>
            <color indexed="81"/>
            <rFont val="Tahoma"/>
            <family val="2"/>
          </rPr>
          <t>Bruce:</t>
        </r>
        <r>
          <rPr>
            <sz val="9"/>
            <color indexed="81"/>
            <rFont val="Tahoma"/>
            <family val="2"/>
          </rPr>
          <t xml:space="preserve">
$60,000.00 of $479,603.12 
Surrenden Farm debt service payment to be paid from Open Space Reserve</t>
        </r>
      </text>
    </comment>
    <comment ref="P81" authorId="0" shapeId="0" xr:uid="{00000000-0006-0000-0800-000009000000}">
      <text>
        <r>
          <rPr>
            <b/>
            <sz val="9"/>
            <color indexed="81"/>
            <rFont val="Tahoma"/>
            <family val="2"/>
          </rPr>
          <t xml:space="preserve">Bruce:
</t>
        </r>
        <r>
          <rPr>
            <sz val="9"/>
            <color indexed="81"/>
            <rFont val="Tahoma"/>
            <family val="2"/>
          </rPr>
          <t>$419,603.12 of $479,603.12 Surrenden Farm debt service payment to be paid from Unallocated Reserve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900-000001000000}">
      <text>
        <r>
          <rPr>
            <sz val="9"/>
            <color indexed="81"/>
            <rFont val="Tahoma"/>
            <family val="2"/>
          </rPr>
          <t>See Cell F94 below for details.</t>
        </r>
      </text>
    </comment>
    <comment ref="H7" authorId="0" shapeId="0" xr:uid="{00000000-0006-0000-0900-000002000000}">
      <text>
        <r>
          <rPr>
            <sz val="9"/>
            <color indexed="81"/>
            <rFont val="Tahoma"/>
            <family val="2"/>
          </rPr>
          <t>See Cell J97 below for details.</t>
        </r>
      </text>
    </comment>
    <comment ref="L7" authorId="0" shapeId="0" xr:uid="{00000000-0006-0000-0900-000003000000}">
      <text>
        <r>
          <rPr>
            <sz val="9"/>
            <color indexed="81"/>
            <rFont val="Tahoma"/>
            <family val="2"/>
          </rPr>
          <t>See Cell N94 below for details.</t>
        </r>
      </text>
    </comment>
    <comment ref="P7" authorId="0" shapeId="0" xr:uid="{00000000-0006-0000-0900-000004000000}">
      <text>
        <r>
          <rPr>
            <sz val="9"/>
            <color indexed="81"/>
            <rFont val="Tahoma"/>
            <family val="2"/>
          </rPr>
          <t>See Cell R96 below for details.</t>
        </r>
      </text>
    </comment>
    <comment ref="T19" authorId="0" shapeId="0" xr:uid="{00000000-0006-0000-0900-000005000000}">
      <text>
        <r>
          <rPr>
            <b/>
            <sz val="9"/>
            <color indexed="81"/>
            <rFont val="Tahoma"/>
            <family val="2"/>
          </rPr>
          <t>Bruce:</t>
        </r>
        <r>
          <rPr>
            <sz val="9"/>
            <color indexed="81"/>
            <rFont val="Tahoma"/>
            <family val="2"/>
          </rPr>
          <t xml:space="preserve">
$2,500 Coalition Dues plus $5,000.00 for other committee expenses.</t>
        </r>
      </text>
    </comment>
    <comment ref="L20" authorId="0" shapeId="0" xr:uid="{00000000-0006-0000-0900-000006000000}">
      <text>
        <r>
          <rPr>
            <b/>
            <sz val="9"/>
            <color indexed="81"/>
            <rFont val="Tahoma"/>
            <family val="2"/>
          </rPr>
          <t>Bruce:</t>
        </r>
        <r>
          <rPr>
            <sz val="9"/>
            <color indexed="81"/>
            <rFont val="Tahoma"/>
            <family val="2"/>
          </rPr>
          <t xml:space="preserve">
$80,000.00 of $476,143.75 Surrenden Farm debt service payment to be paid from Open Space Reserve</t>
        </r>
      </text>
    </comment>
    <comment ref="P20" authorId="0" shapeId="0" xr:uid="{00000000-0006-0000-0900-000007000000}">
      <text>
        <r>
          <rPr>
            <b/>
            <sz val="9"/>
            <color indexed="81"/>
            <rFont val="Tahoma"/>
            <family val="2"/>
          </rPr>
          <t xml:space="preserve">Bruce:
</t>
        </r>
        <r>
          <rPr>
            <sz val="9"/>
            <color indexed="81"/>
            <rFont val="Tahoma"/>
            <family val="2"/>
          </rPr>
          <t>$396,143.75 of $476,143.75 Surrenden Farm debt service payment to be paid from Unallocated Reserve</t>
        </r>
      </text>
    </comment>
    <comment ref="P76" authorId="0" shapeId="0" xr:uid="{00000000-0006-0000-0900-000008000000}">
      <text>
        <r>
          <rPr>
            <b/>
            <sz val="9"/>
            <color indexed="81"/>
            <rFont val="Tahoma"/>
            <family val="2"/>
          </rPr>
          <t>Bruce:</t>
        </r>
        <r>
          <rPr>
            <sz val="9"/>
            <color indexed="81"/>
            <rFont val="Tahoma"/>
            <family val="2"/>
          </rPr>
          <t xml:space="preserve">
$476,721.88 debt service payment is due in FY2018.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A00-000001000000}">
      <text>
        <r>
          <rPr>
            <sz val="9"/>
            <color indexed="81"/>
            <rFont val="Tahoma"/>
            <family val="2"/>
          </rPr>
          <t>See Cell F92 below for details.</t>
        </r>
      </text>
    </comment>
    <comment ref="H7" authorId="0" shapeId="0" xr:uid="{00000000-0006-0000-0A00-000002000000}">
      <text>
        <r>
          <rPr>
            <sz val="9"/>
            <color indexed="81"/>
            <rFont val="Tahoma"/>
            <family val="2"/>
          </rPr>
          <t>See Cell J92 below for details.</t>
        </r>
      </text>
    </comment>
    <comment ref="L7" authorId="0" shapeId="0" xr:uid="{00000000-0006-0000-0A00-000003000000}">
      <text>
        <r>
          <rPr>
            <sz val="9"/>
            <color indexed="81"/>
            <rFont val="Tahoma"/>
            <family val="2"/>
          </rPr>
          <t>See Cell N92 below for details.</t>
        </r>
      </text>
    </comment>
    <comment ref="P7" authorId="0" shapeId="0" xr:uid="{00000000-0006-0000-0A00-000004000000}">
      <text>
        <r>
          <rPr>
            <sz val="9"/>
            <color indexed="81"/>
            <rFont val="Tahoma"/>
            <family val="2"/>
          </rPr>
          <t>See Cell R93 below for details.</t>
        </r>
      </text>
    </comment>
    <comment ref="T19" authorId="0" shapeId="0" xr:uid="{00000000-0006-0000-0A00-000005000000}">
      <text>
        <r>
          <rPr>
            <b/>
            <sz val="9"/>
            <color indexed="81"/>
            <rFont val="Tahoma"/>
            <family val="2"/>
          </rPr>
          <t>Bruce:</t>
        </r>
        <r>
          <rPr>
            <sz val="9"/>
            <color indexed="81"/>
            <rFont val="Tahoma"/>
            <family val="2"/>
          </rPr>
          <t xml:space="preserve">
$2,500 Coalition Dues plus $5,000.00 for other committee expenses.</t>
        </r>
      </text>
    </comment>
    <comment ref="L20" authorId="0" shapeId="0" xr:uid="{00000000-0006-0000-0A00-000006000000}">
      <text>
        <r>
          <rPr>
            <b/>
            <sz val="9"/>
            <color indexed="81"/>
            <rFont val="Tahoma"/>
            <family val="2"/>
          </rPr>
          <t>Bruce:</t>
        </r>
        <r>
          <rPr>
            <sz val="9"/>
            <color indexed="81"/>
            <rFont val="Tahoma"/>
            <family val="2"/>
          </rPr>
          <t xml:space="preserve">
$80,000.00 of $482,850.00 Surrenden Farm debt service payment to be paid from Open Space Reserve</t>
        </r>
      </text>
    </comment>
    <comment ref="P20" authorId="0" shapeId="0" xr:uid="{00000000-0006-0000-0A00-000007000000}">
      <text>
        <r>
          <rPr>
            <b/>
            <sz val="9"/>
            <color indexed="81"/>
            <rFont val="Tahoma"/>
            <family val="2"/>
          </rPr>
          <t xml:space="preserve">Bruce:
</t>
        </r>
        <r>
          <rPr>
            <sz val="9"/>
            <color indexed="81"/>
            <rFont val="Tahoma"/>
            <family val="2"/>
          </rPr>
          <t>$415,000.00 of $482,850.00 Surrenden Farm debt service payment to be paid from Unallocated Reserve</t>
        </r>
      </text>
    </comment>
    <comment ref="P74" authorId="0" shapeId="0" xr:uid="{00000000-0006-0000-0A00-000008000000}">
      <text>
        <r>
          <rPr>
            <b/>
            <sz val="9"/>
            <color indexed="81"/>
            <rFont val="Tahoma"/>
            <family val="2"/>
          </rPr>
          <t>Bruce:</t>
        </r>
        <r>
          <rPr>
            <sz val="9"/>
            <color indexed="81"/>
            <rFont val="Tahoma"/>
            <family val="2"/>
          </rPr>
          <t xml:space="preserve">
$476,143.75 debt service payment is due in FY2017.</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B00-000001000000}">
      <text>
        <r>
          <rPr>
            <sz val="9"/>
            <color indexed="81"/>
            <rFont val="Tahoma"/>
            <family val="2"/>
          </rPr>
          <t>See Cell F88 below for details.</t>
        </r>
      </text>
    </comment>
    <comment ref="H7" authorId="0" shapeId="0" xr:uid="{00000000-0006-0000-0B00-000002000000}">
      <text>
        <r>
          <rPr>
            <sz val="9"/>
            <color indexed="81"/>
            <rFont val="Tahoma"/>
            <family val="2"/>
          </rPr>
          <t>See Cell J88 below for details.</t>
        </r>
      </text>
    </comment>
    <comment ref="L7" authorId="0" shapeId="0" xr:uid="{00000000-0006-0000-0B00-000003000000}">
      <text>
        <r>
          <rPr>
            <sz val="9"/>
            <color indexed="81"/>
            <rFont val="Tahoma"/>
            <family val="2"/>
          </rPr>
          <t>See Cell N88 below for details.</t>
        </r>
      </text>
    </comment>
    <comment ref="P7" authorId="0" shapeId="0" xr:uid="{00000000-0006-0000-0B00-000004000000}">
      <text>
        <r>
          <rPr>
            <sz val="9"/>
            <color indexed="81"/>
            <rFont val="Tahoma"/>
            <family val="2"/>
          </rPr>
          <t>See Cell R90 below for details.</t>
        </r>
      </text>
    </comment>
    <comment ref="T19" authorId="0" shapeId="0" xr:uid="{00000000-0006-0000-0B00-000005000000}">
      <text>
        <r>
          <rPr>
            <b/>
            <sz val="9"/>
            <color indexed="81"/>
            <rFont val="Tahoma"/>
            <family val="2"/>
          </rPr>
          <t>Bruce:</t>
        </r>
        <r>
          <rPr>
            <sz val="9"/>
            <color indexed="81"/>
            <rFont val="Tahoma"/>
            <family val="2"/>
          </rPr>
          <t xml:space="preserve">
$2,500 Coalition Dues plus $5,000.00 for other committee expenses.</t>
        </r>
      </text>
    </comment>
    <comment ref="L20" authorId="0" shapeId="0" xr:uid="{00000000-0006-0000-0B00-000006000000}">
      <text>
        <r>
          <rPr>
            <b/>
            <sz val="9"/>
            <color indexed="81"/>
            <rFont val="Tahoma"/>
            <family val="2"/>
          </rPr>
          <t>Bruce:</t>
        </r>
        <r>
          <rPr>
            <sz val="9"/>
            <color indexed="81"/>
            <rFont val="Tahoma"/>
            <family val="2"/>
          </rPr>
          <t xml:space="preserve">
$31,727.00 of $90,000.00 Surrenden Farm debt service payment was already encumbered in FY2014</t>
        </r>
      </text>
    </comment>
    <comment ref="P20" authorId="0" shapeId="0" xr:uid="{00000000-0006-0000-0B00-000007000000}">
      <text>
        <r>
          <rPr>
            <b/>
            <sz val="9"/>
            <color indexed="81"/>
            <rFont val="Tahoma"/>
            <family val="2"/>
          </rPr>
          <t>Bruce:</t>
        </r>
        <r>
          <rPr>
            <sz val="9"/>
            <color indexed="81"/>
            <rFont val="Tahoma"/>
            <family val="2"/>
          </rPr>
          <t xml:space="preserve">
$486,475.00 debt service payment is due in FY2015.</t>
        </r>
      </text>
    </comment>
    <comment ref="P22" authorId="0" shapeId="0" xr:uid="{00000000-0006-0000-0B00-000008000000}">
      <text>
        <r>
          <rPr>
            <b/>
            <sz val="9"/>
            <color indexed="81"/>
            <rFont val="Tahoma"/>
            <family val="2"/>
          </rPr>
          <t>Bruce:</t>
        </r>
        <r>
          <rPr>
            <sz val="9"/>
            <color indexed="81"/>
            <rFont val="Tahoma"/>
            <family val="2"/>
          </rPr>
          <t xml:space="preserve">
$90,623.00 of $90,623.00 Conservation Fund 2015  was already encumbered in FY2014</t>
        </r>
      </text>
    </comment>
    <comment ref="P23" authorId="0" shapeId="0" xr:uid="{00000000-0006-0000-0B00-000009000000}">
      <text>
        <r>
          <rPr>
            <b/>
            <sz val="9"/>
            <color indexed="81"/>
            <rFont val="Tahoma"/>
            <family val="2"/>
          </rPr>
          <t>Bruce:</t>
        </r>
        <r>
          <rPr>
            <sz val="9"/>
            <color indexed="81"/>
            <rFont val="Tahoma"/>
            <family val="2"/>
          </rPr>
          <t xml:space="preserve">
$87,015.00 of $109,590.00 Sargisson Beach Restoration was already encumbered in FY2014</t>
        </r>
      </text>
    </comment>
    <comment ref="P70" authorId="0" shapeId="0" xr:uid="{00000000-0006-0000-0B00-00000A000000}">
      <text>
        <r>
          <rPr>
            <b/>
            <sz val="9"/>
            <color indexed="81"/>
            <rFont val="Tahoma"/>
            <family val="2"/>
          </rPr>
          <t>Bruce:</t>
        </r>
        <r>
          <rPr>
            <sz val="9"/>
            <color indexed="81"/>
            <rFont val="Tahoma"/>
            <family val="2"/>
          </rPr>
          <t xml:space="preserve">
$486,475 debt service payment is due in FY2016.</t>
        </r>
      </text>
    </comment>
    <comment ref="J88" authorId="0" shapeId="0" xr:uid="{00000000-0006-0000-0B00-00000B000000}">
      <text>
        <r>
          <rPr>
            <sz val="9"/>
            <color indexed="81"/>
            <rFont val="Tahoma"/>
            <family val="2"/>
          </rPr>
          <t xml:space="preserve">Boutwell House project remaining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C00-000001000000}">
      <text>
        <r>
          <rPr>
            <sz val="9"/>
            <color indexed="81"/>
            <rFont val="Tahoma"/>
            <family val="2"/>
          </rPr>
          <t>See Cell F89 below for details.</t>
        </r>
      </text>
    </comment>
    <comment ref="H7" authorId="0" shapeId="0" xr:uid="{00000000-0006-0000-0C00-000002000000}">
      <text>
        <r>
          <rPr>
            <sz val="9"/>
            <color indexed="81"/>
            <rFont val="Tahoma"/>
            <family val="2"/>
          </rPr>
          <t>See Cell J90 below for details.</t>
        </r>
      </text>
    </comment>
    <comment ref="L7" authorId="0" shapeId="0" xr:uid="{00000000-0006-0000-0C00-000003000000}">
      <text>
        <r>
          <rPr>
            <sz val="9"/>
            <color indexed="81"/>
            <rFont val="Tahoma"/>
            <family val="2"/>
          </rPr>
          <t>See Cell N89 below for details.</t>
        </r>
      </text>
    </comment>
    <comment ref="P7" authorId="0" shapeId="0" xr:uid="{00000000-0006-0000-0C00-000004000000}">
      <text>
        <r>
          <rPr>
            <sz val="9"/>
            <color indexed="81"/>
            <rFont val="Tahoma"/>
            <family val="2"/>
          </rPr>
          <t>See Cell R91 below for details.</t>
        </r>
      </text>
    </comment>
    <comment ref="T18" authorId="0" shapeId="0" xr:uid="{00000000-0006-0000-0C00-000005000000}">
      <text>
        <r>
          <rPr>
            <b/>
            <sz val="9"/>
            <color indexed="81"/>
            <rFont val="Tahoma"/>
            <family val="2"/>
          </rPr>
          <t>Bruce:</t>
        </r>
        <r>
          <rPr>
            <sz val="9"/>
            <color indexed="81"/>
            <rFont val="Tahoma"/>
            <family val="2"/>
          </rPr>
          <t xml:space="preserve">
Admin Assistant at $17.4172/hr
  for 5 hrs/week for 52.5
  weeks with 2% raise and
  2% incentive - plus -
Admin Assistant 2 hr/week
  at $27.17/hr for 52.5 weeks
  - plus -
Affordable Housing Coordinator
  at $22.44/hr for 19 hr/wk
  40 weeks with 2% raise and
  2% incentive.</t>
        </r>
      </text>
    </comment>
    <comment ref="T19" authorId="0" shapeId="0" xr:uid="{00000000-0006-0000-0C00-000006000000}">
      <text>
        <r>
          <rPr>
            <b/>
            <sz val="9"/>
            <color indexed="81"/>
            <rFont val="Tahoma"/>
            <family val="2"/>
          </rPr>
          <t>Bruce:</t>
        </r>
        <r>
          <rPr>
            <sz val="9"/>
            <color indexed="81"/>
            <rFont val="Tahoma"/>
            <family val="2"/>
          </rPr>
          <t xml:space="preserve">
$2,500 Coalition Dues plus $5,935.52 for other committee expenses.</t>
        </r>
      </text>
    </comment>
    <comment ref="P20" authorId="0" shapeId="0" xr:uid="{00000000-0006-0000-0C00-000007000000}">
      <text>
        <r>
          <rPr>
            <b/>
            <sz val="9"/>
            <color indexed="81"/>
            <rFont val="Tahoma"/>
            <family val="2"/>
          </rPr>
          <t>Bruce:</t>
        </r>
        <r>
          <rPr>
            <sz val="9"/>
            <color indexed="81"/>
            <rFont val="Tahoma"/>
            <family val="2"/>
          </rPr>
          <t xml:space="preserve">
$487,112.50 debt service payment is due in FY2014.</t>
        </r>
      </text>
    </comment>
    <comment ref="P22" authorId="0" shapeId="0" xr:uid="{00000000-0006-0000-0C00-000008000000}">
      <text>
        <r>
          <rPr>
            <b/>
            <sz val="9"/>
            <color indexed="81"/>
            <rFont val="Tahoma"/>
            <family val="2"/>
          </rPr>
          <t>Bruce:</t>
        </r>
        <r>
          <rPr>
            <sz val="9"/>
            <color indexed="81"/>
            <rFont val="Tahoma"/>
            <family val="2"/>
          </rPr>
          <t xml:space="preserve">
$299,587.50 of $309,000 total was encumbered in FY2013</t>
        </r>
      </text>
    </comment>
    <comment ref="L46" authorId="0" shapeId="0" xr:uid="{00000000-0006-0000-0C00-000009000000}">
      <text>
        <r>
          <rPr>
            <b/>
            <sz val="9"/>
            <color indexed="81"/>
            <rFont val="Tahoma"/>
            <family val="2"/>
          </rPr>
          <t>Bruce:</t>
        </r>
        <r>
          <rPr>
            <sz val="9"/>
            <color indexed="81"/>
            <rFont val="Tahoma"/>
            <family val="2"/>
          </rPr>
          <t xml:space="preserve">
Encumbered $31,727.00 of $90,000.00 of Surrenden Farm debt to ensure no shortfall in FY2015</t>
        </r>
      </text>
    </comment>
    <comment ref="P47" authorId="0" shapeId="0" xr:uid="{00000000-0006-0000-0C00-00000A000000}">
      <text>
        <r>
          <rPr>
            <b/>
            <sz val="9"/>
            <color indexed="81"/>
            <rFont val="Tahoma"/>
            <family val="2"/>
          </rPr>
          <t>Bruce:</t>
        </r>
        <r>
          <rPr>
            <sz val="9"/>
            <color indexed="81"/>
            <rFont val="Tahoma"/>
            <family val="2"/>
          </rPr>
          <t xml:space="preserve">
Encumbered $90,623.00 of $90,623.00 Conservation Fund 2015 as part of $177,638.00 overall encumbrance to ensure no shortfall in FY2015.</t>
        </r>
      </text>
    </comment>
    <comment ref="P48" authorId="0" shapeId="0" xr:uid="{00000000-0006-0000-0C00-00000B000000}">
      <text>
        <r>
          <rPr>
            <b/>
            <sz val="9"/>
            <color indexed="81"/>
            <rFont val="Tahoma"/>
            <family val="2"/>
          </rPr>
          <t>Bruce:</t>
        </r>
        <r>
          <rPr>
            <sz val="9"/>
            <color indexed="81"/>
            <rFont val="Tahoma"/>
            <family val="2"/>
          </rPr>
          <t xml:space="preserve">
Encumbered $87,015.00 of $109,590.00 Sargisson Beach as part of $177,638.00 overall encumbrance to ensure no shortfall in FY2015.</t>
        </r>
      </text>
    </comment>
    <comment ref="P65" authorId="0" shapeId="0" xr:uid="{00000000-0006-0000-0C00-00000C000000}">
      <text>
        <r>
          <rPr>
            <b/>
            <sz val="9"/>
            <color indexed="81"/>
            <rFont val="Tahoma"/>
            <family val="2"/>
          </rPr>
          <t>Bruce:</t>
        </r>
        <r>
          <rPr>
            <sz val="9"/>
            <color indexed="81"/>
            <rFont val="Tahoma"/>
            <family val="2"/>
          </rPr>
          <t xml:space="preserve">
$486,475 debt service payment is due in FY2015.</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D00-000001000000}">
      <text>
        <r>
          <rPr>
            <sz val="9"/>
            <color indexed="81"/>
            <rFont val="Tahoma"/>
            <family val="2"/>
          </rPr>
          <t>See Cell F96 below for details.</t>
        </r>
      </text>
    </comment>
    <comment ref="H7" authorId="0" shapeId="0" xr:uid="{00000000-0006-0000-0D00-000002000000}">
      <text>
        <r>
          <rPr>
            <sz val="9"/>
            <color indexed="81"/>
            <rFont val="Tahoma"/>
            <family val="2"/>
          </rPr>
          <t>See Cell J96 below for details.</t>
        </r>
      </text>
    </comment>
    <comment ref="L7" authorId="0" shapeId="0" xr:uid="{00000000-0006-0000-0D00-000003000000}">
      <text>
        <r>
          <rPr>
            <sz val="9"/>
            <color indexed="81"/>
            <rFont val="Tahoma"/>
            <family val="2"/>
          </rPr>
          <t>See Cell N96 below for details.</t>
        </r>
      </text>
    </comment>
    <comment ref="P7" authorId="0" shapeId="0" xr:uid="{00000000-0006-0000-0D00-000004000000}">
      <text>
        <r>
          <rPr>
            <sz val="9"/>
            <color indexed="81"/>
            <rFont val="Tahoma"/>
            <family val="2"/>
          </rPr>
          <t>See Cell R99 below for details.</t>
        </r>
      </text>
    </comment>
    <comment ref="T18" authorId="0" shapeId="0" xr:uid="{00000000-0006-0000-0D00-000005000000}">
      <text>
        <r>
          <rPr>
            <b/>
            <sz val="9"/>
            <color indexed="81"/>
            <rFont val="Tahoma"/>
            <family val="2"/>
          </rPr>
          <t>Bruce:</t>
        </r>
        <r>
          <rPr>
            <sz val="9"/>
            <color indexed="81"/>
            <rFont val="Tahoma"/>
            <family val="2"/>
          </rPr>
          <t xml:space="preserve">
Admin Assistant 7 hr/wk
  at $22.18/hr for 52.2 weeks
  with 3% raise
plus
Aff Hs Cord 19 hr/wk
  at $22.44/hr for 43 weeks
  with 3% raise</t>
        </r>
      </text>
    </comment>
    <comment ref="T19" authorId="0" shapeId="0" xr:uid="{00000000-0006-0000-0D00-000006000000}">
      <text>
        <r>
          <rPr>
            <b/>
            <sz val="9"/>
            <color indexed="81"/>
            <rFont val="Tahoma"/>
            <family val="2"/>
          </rPr>
          <t>Bruce:</t>
        </r>
        <r>
          <rPr>
            <sz val="9"/>
            <color indexed="81"/>
            <rFont val="Tahoma"/>
            <family val="2"/>
          </rPr>
          <t xml:space="preserve">
$2,500 Coalition Dues plus $5,068.81 for other committee expenses.</t>
        </r>
      </text>
    </comment>
    <comment ref="L20" authorId="0" shapeId="0" xr:uid="{00000000-0006-0000-0D00-000007000000}">
      <text>
        <r>
          <rPr>
            <b/>
            <sz val="9"/>
            <color indexed="81"/>
            <rFont val="Tahoma"/>
            <family val="2"/>
          </rPr>
          <t>Bruce:</t>
        </r>
        <r>
          <rPr>
            <sz val="9"/>
            <color indexed="81"/>
            <rFont val="Tahoma"/>
            <family val="2"/>
          </rPr>
          <t xml:space="preserve">
$5,440.00 of $70,000.00 total was already encumbered in FY2012</t>
        </r>
      </text>
    </comment>
    <comment ref="P20" authorId="0" shapeId="0" xr:uid="{00000000-0006-0000-0D00-000008000000}">
      <text>
        <r>
          <rPr>
            <b/>
            <sz val="9"/>
            <color indexed="81"/>
            <rFont val="Tahoma"/>
            <family val="2"/>
          </rPr>
          <t>Bruce:</t>
        </r>
        <r>
          <rPr>
            <sz val="9"/>
            <color indexed="81"/>
            <rFont val="Tahoma"/>
            <family val="2"/>
          </rPr>
          <t xml:space="preserve">
$73,247.50 of $487,887.50 total was already encumbered in FY2012</t>
        </r>
      </text>
    </comment>
    <comment ref="T25" authorId="0" shapeId="0" xr:uid="{00000000-0006-0000-0D00-000009000000}">
      <text>
        <r>
          <rPr>
            <b/>
            <sz val="9"/>
            <color indexed="81"/>
            <rFont val="Tahoma"/>
            <family val="2"/>
          </rPr>
          <t>Bruce:</t>
        </r>
        <r>
          <rPr>
            <sz val="9"/>
            <color indexed="81"/>
            <rFont val="Tahoma"/>
            <family val="2"/>
          </rPr>
          <t xml:space="preserve">
Aff Hs Cord 19 hr/wk
  at $22.44/hr for 3 additional
  weeks with 3% raise</t>
        </r>
      </text>
    </comment>
    <comment ref="T26" authorId="0" shapeId="0" xr:uid="{00000000-0006-0000-0D00-00000A000000}">
      <text>
        <r>
          <rPr>
            <b/>
            <sz val="9"/>
            <color indexed="81"/>
            <rFont val="Tahoma"/>
            <family val="2"/>
          </rPr>
          <t>Bruce:</t>
        </r>
        <r>
          <rPr>
            <sz val="9"/>
            <color indexed="81"/>
            <rFont val="Tahoma"/>
            <family val="2"/>
          </rPr>
          <t xml:space="preserve">
Additional committee expense availble due to state match</t>
        </r>
      </text>
    </comment>
    <comment ref="P50" authorId="0" shapeId="0" xr:uid="{00000000-0006-0000-0D00-00000B000000}">
      <text>
        <r>
          <rPr>
            <b/>
            <sz val="9"/>
            <color indexed="81"/>
            <rFont val="Tahoma"/>
            <family val="2"/>
          </rPr>
          <t>Bruce:</t>
        </r>
        <r>
          <rPr>
            <sz val="9"/>
            <color indexed="81"/>
            <rFont val="Tahoma"/>
            <family val="2"/>
          </rPr>
          <t xml:space="preserve">
We budgeted $487,887.50 to pay the Surrenden Farm note but we actually paid $487,887.52</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E00-000001000000}">
      <text>
        <r>
          <rPr>
            <sz val="9"/>
            <color indexed="81"/>
            <rFont val="Tahoma"/>
            <family val="2"/>
          </rPr>
          <t>See Cell F99 below for details.</t>
        </r>
      </text>
    </comment>
    <comment ref="H7" authorId="0" shapeId="0" xr:uid="{00000000-0006-0000-0E00-000002000000}">
      <text>
        <r>
          <rPr>
            <sz val="9"/>
            <color indexed="81"/>
            <rFont val="Tahoma"/>
            <family val="2"/>
          </rPr>
          <t>See Cell J101 below for details.</t>
        </r>
      </text>
    </comment>
    <comment ref="L7" authorId="0" shapeId="0" xr:uid="{00000000-0006-0000-0E00-000003000000}">
      <text>
        <r>
          <rPr>
            <sz val="9"/>
            <color indexed="81"/>
            <rFont val="Tahoma"/>
            <family val="2"/>
          </rPr>
          <t>See Cell N98 below for details.</t>
        </r>
      </text>
    </comment>
    <comment ref="P7" authorId="0" shapeId="0" xr:uid="{00000000-0006-0000-0E00-000004000000}">
      <text>
        <r>
          <rPr>
            <sz val="9"/>
            <color indexed="81"/>
            <rFont val="Tahoma"/>
            <family val="2"/>
          </rPr>
          <t>See Cell R100 below for details.</t>
        </r>
      </text>
    </comment>
    <comment ref="L19" authorId="0" shapeId="0" xr:uid="{00000000-0006-0000-0E00-000005000000}">
      <text>
        <r>
          <rPr>
            <b/>
            <sz val="9"/>
            <color indexed="81"/>
            <rFont val="Tahoma"/>
            <family val="2"/>
          </rPr>
          <t>Bruce:</t>
        </r>
        <r>
          <rPr>
            <sz val="9"/>
            <color indexed="81"/>
            <rFont val="Tahoma"/>
            <family val="2"/>
          </rPr>
          <t xml:space="preserve">
$21,500.00 of $90,000.00 total was already encumbered in FY2011.</t>
        </r>
      </text>
    </comment>
    <comment ref="D20" authorId="0" shapeId="0" xr:uid="{00000000-0006-0000-0E00-000006000000}">
      <text>
        <r>
          <rPr>
            <b/>
            <sz val="9"/>
            <color indexed="81"/>
            <rFont val="Tahoma"/>
            <family val="2"/>
          </rPr>
          <t>Bruce:</t>
        </r>
        <r>
          <rPr>
            <sz val="9"/>
            <color indexed="81"/>
            <rFont val="Tahoma"/>
            <family val="2"/>
          </rPr>
          <t xml:space="preserve">
$343,500 of $412,000 total was already encumbered in FY2011</t>
        </r>
      </text>
    </comment>
    <comment ref="H23" authorId="0" shapeId="0" xr:uid="{00000000-0006-0000-0E00-000007000000}">
      <text>
        <r>
          <rPr>
            <b/>
            <sz val="9"/>
            <color indexed="81"/>
            <rFont val="Tahoma"/>
            <family val="2"/>
          </rPr>
          <t>Bruce:</t>
        </r>
        <r>
          <rPr>
            <sz val="9"/>
            <color indexed="81"/>
            <rFont val="Tahoma"/>
            <family val="2"/>
          </rPr>
          <t xml:space="preserve">
$140,525 of $159,025 total was already encumbered in FY2011</t>
        </r>
      </text>
    </comment>
    <comment ref="T28" authorId="0" shapeId="0" xr:uid="{00000000-0006-0000-0E00-000008000000}">
      <text>
        <r>
          <rPr>
            <b/>
            <sz val="9"/>
            <color indexed="81"/>
            <rFont val="Tahoma"/>
            <family val="2"/>
          </rPr>
          <t>Bruce:</t>
        </r>
        <r>
          <rPr>
            <sz val="9"/>
            <color indexed="81"/>
            <rFont val="Tahoma"/>
            <family val="2"/>
          </rPr>
          <t xml:space="preserve">
$2,500 Coalition Dues plus $45.00 for other committee expenses.</t>
        </r>
      </text>
    </comment>
    <comment ref="P44" authorId="0" shapeId="0" xr:uid="{00000000-0006-0000-0E00-000009000000}">
      <text>
        <r>
          <rPr>
            <b/>
            <sz val="9"/>
            <color indexed="81"/>
            <rFont val="Tahoma"/>
            <family val="2"/>
          </rPr>
          <t>Bruce:</t>
        </r>
        <r>
          <rPr>
            <sz val="9"/>
            <color indexed="81"/>
            <rFont val="Tahoma"/>
            <family val="2"/>
          </rPr>
          <t xml:space="preserve">
We budgeted $488,762.50 to pay the Surrenden Farm note but we actually paid $488,762.56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F00-000001000000}">
      <text>
        <r>
          <rPr>
            <sz val="9"/>
            <color indexed="81"/>
            <rFont val="Tahoma"/>
            <family val="2"/>
          </rPr>
          <t>See Cell F107 below for details.</t>
        </r>
      </text>
    </comment>
    <comment ref="H7" authorId="0" shapeId="0" xr:uid="{00000000-0006-0000-0F00-000002000000}">
      <text>
        <r>
          <rPr>
            <sz val="9"/>
            <color indexed="81"/>
            <rFont val="Tahoma"/>
            <family val="2"/>
          </rPr>
          <t>See Cell J108 below for details.</t>
        </r>
      </text>
    </comment>
    <comment ref="L7" authorId="0" shapeId="0" xr:uid="{00000000-0006-0000-0F00-000003000000}">
      <text>
        <r>
          <rPr>
            <sz val="9"/>
            <color indexed="81"/>
            <rFont val="Tahoma"/>
            <family val="2"/>
          </rPr>
          <t>See Cell N107 below for details.</t>
        </r>
      </text>
    </comment>
    <comment ref="P7" authorId="0" shapeId="0" xr:uid="{00000000-0006-0000-0F00-000004000000}">
      <text>
        <r>
          <rPr>
            <sz val="9"/>
            <color indexed="81"/>
            <rFont val="Tahoma"/>
            <family val="2"/>
          </rPr>
          <t>See Cell R113 below for details.</t>
        </r>
      </text>
    </comment>
    <comment ref="P18" authorId="0" shapeId="0" xr:uid="{00000000-0006-0000-0F00-000005000000}">
      <text>
        <r>
          <rPr>
            <sz val="9"/>
            <color indexed="81"/>
            <rFont val="Tahoma"/>
            <family val="2"/>
          </rPr>
          <t>$26,000.00 of $26,000.00 total was encumbered in FY2010.</t>
        </r>
      </text>
    </comment>
    <comment ref="L19" authorId="0" shapeId="0" xr:uid="{00000000-0006-0000-0F00-000006000000}">
      <text>
        <r>
          <rPr>
            <sz val="9"/>
            <color indexed="81"/>
            <rFont val="Tahoma"/>
            <family val="2"/>
          </rPr>
          <t>$23,000.00 of $75,000.00 total was already encumbered in FY2010.</t>
        </r>
      </text>
    </comment>
    <comment ref="P19" authorId="0" shapeId="0" xr:uid="{00000000-0006-0000-0F00-000007000000}">
      <text>
        <r>
          <rPr>
            <sz val="9"/>
            <color indexed="81"/>
            <rFont val="Tahoma"/>
            <family val="2"/>
          </rPr>
          <t>$55,013.00 of $419,012.50 total was already encumbered in FY2010.</t>
        </r>
      </text>
    </comment>
    <comment ref="P20" authorId="0" shapeId="0" xr:uid="{00000000-0006-0000-0F00-000008000000}">
      <text>
        <r>
          <rPr>
            <sz val="9"/>
            <color indexed="81"/>
            <rFont val="Tahoma"/>
            <family val="2"/>
          </rPr>
          <t>$75,000.00 of $75,000.00 total was encumbered in FY2010.</t>
        </r>
      </text>
    </comment>
    <comment ref="F107" authorId="0" shapeId="0" xr:uid="{00000000-0006-0000-0F00-000009000000}">
      <text>
        <r>
          <rPr>
            <b/>
            <sz val="9"/>
            <color indexed="81"/>
            <rFont val="Tahoma"/>
            <family val="2"/>
          </rPr>
          <t>Bruce:</t>
        </r>
        <r>
          <rPr>
            <sz val="9"/>
            <color indexed="81"/>
            <rFont val="Tahoma"/>
            <family val="2"/>
          </rPr>
          <t xml:space="preserve">
2007-13 Nashua Road
$25,000.00 Encumbered
$7,454.80 remaining on 31 June 2011.</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000-000001000000}">
      <text>
        <r>
          <rPr>
            <sz val="9"/>
            <color indexed="81"/>
            <rFont val="Tahoma"/>
            <family val="2"/>
          </rPr>
          <t>See Cell F114 below for details.</t>
        </r>
      </text>
    </comment>
    <comment ref="H7" authorId="0" shapeId="0" xr:uid="{00000000-0006-0000-1000-000002000000}">
      <text>
        <r>
          <rPr>
            <sz val="9"/>
            <color indexed="81"/>
            <rFont val="Tahoma"/>
            <family val="2"/>
          </rPr>
          <t>See Cell J115 below for details.</t>
        </r>
      </text>
    </comment>
    <comment ref="L7" authorId="0" shapeId="0" xr:uid="{00000000-0006-0000-1000-000003000000}">
      <text>
        <r>
          <rPr>
            <sz val="9"/>
            <color indexed="81"/>
            <rFont val="Tahoma"/>
            <family val="2"/>
          </rPr>
          <t>See Cell N113 below for details.</t>
        </r>
      </text>
    </comment>
    <comment ref="P7" authorId="0" shapeId="0" xr:uid="{00000000-0006-0000-1000-000004000000}">
      <text>
        <r>
          <rPr>
            <sz val="9"/>
            <color indexed="81"/>
            <rFont val="Tahoma"/>
            <family val="2"/>
          </rPr>
          <t>See Cell R114 below for details.</t>
        </r>
      </text>
    </comment>
    <comment ref="P19" authorId="0" shapeId="0" xr:uid="{00000000-0006-0000-1000-000005000000}">
      <text>
        <r>
          <rPr>
            <sz val="9"/>
            <color indexed="81"/>
            <rFont val="Tahoma"/>
            <family val="2"/>
          </rPr>
          <t>$287,365.00 of $422,213.00 total was encumbered in FY2009.</t>
        </r>
      </text>
    </comment>
    <comment ref="H23" authorId="0" shapeId="0" xr:uid="{00000000-0006-0000-1000-000006000000}">
      <text>
        <r>
          <rPr>
            <sz val="9"/>
            <color indexed="81"/>
            <rFont val="Tahoma"/>
            <family val="2"/>
          </rPr>
          <t>$91,350.00 of $100,000.00 total was encumbered in FY2009.</t>
        </r>
      </text>
    </comment>
    <comment ref="L26" authorId="0" shapeId="0" xr:uid="{00000000-0006-0000-1000-000007000000}">
      <text>
        <r>
          <rPr>
            <sz val="9"/>
            <color indexed="81"/>
            <rFont val="Tahoma"/>
            <family val="2"/>
          </rPr>
          <t>$8,650.00 of $8,650.00 total was encumbered in FY2009.</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100-000001000000}">
      <text>
        <r>
          <rPr>
            <sz val="9"/>
            <color indexed="81"/>
            <rFont val="Tahoma"/>
            <family val="2"/>
          </rPr>
          <t>See Cell F104 below for details.</t>
        </r>
      </text>
    </comment>
    <comment ref="H7" authorId="0" shapeId="0" xr:uid="{00000000-0006-0000-1100-000002000000}">
      <text>
        <r>
          <rPr>
            <sz val="9"/>
            <color indexed="81"/>
            <rFont val="Tahoma"/>
            <family val="2"/>
          </rPr>
          <t>See Cell J106 below for details.</t>
        </r>
      </text>
    </comment>
    <comment ref="L7" authorId="0" shapeId="0" xr:uid="{00000000-0006-0000-1100-000003000000}">
      <text>
        <r>
          <rPr>
            <sz val="9"/>
            <color indexed="81"/>
            <rFont val="Tahoma"/>
            <family val="2"/>
          </rPr>
          <t>See Cell N106 below for details.</t>
        </r>
      </text>
    </comment>
    <comment ref="P7" authorId="0" shapeId="0" xr:uid="{00000000-0006-0000-1100-000004000000}">
      <text>
        <r>
          <rPr>
            <sz val="9"/>
            <color indexed="81"/>
            <rFont val="Tahoma"/>
            <family val="2"/>
          </rPr>
          <t>See Cell R106 below for details.</t>
        </r>
      </text>
    </comment>
    <comment ref="P19" authorId="0" shapeId="0" xr:uid="{00000000-0006-0000-1100-000005000000}">
      <text>
        <r>
          <rPr>
            <sz val="9"/>
            <color indexed="81"/>
            <rFont val="Tahoma"/>
            <family val="2"/>
          </rPr>
          <t>$0.00 of $393,412.50 long term note total was encumbered in FY2008.
$37,368.46 was used to pay off short term note</t>
        </r>
      </text>
    </comment>
    <comment ref="P26" authorId="0" shapeId="0" xr:uid="{00000000-0006-0000-1100-000006000000}">
      <text>
        <r>
          <rPr>
            <b/>
            <sz val="9"/>
            <color indexed="81"/>
            <rFont val="Tahoma"/>
            <family val="2"/>
          </rPr>
          <t>Bruce:</t>
        </r>
        <r>
          <rPr>
            <sz val="9"/>
            <color indexed="81"/>
            <rFont val="Tahoma"/>
            <family val="2"/>
          </rPr>
          <t xml:space="preserve">
FY09 Surrended Farm debt service payment of $493,412.50 minus $95,000.00 + $125,000.00 for short term loan principal payment + $4,910.07 short term loan interest payment</t>
        </r>
      </text>
    </comment>
    <comment ref="H71" authorId="0" shapeId="0" xr:uid="{00000000-0006-0000-1100-000007000000}">
      <text>
        <r>
          <rPr>
            <sz val="9"/>
            <color indexed="81"/>
            <rFont val="Tahoma"/>
            <family val="2"/>
          </rPr>
          <t>$91,350.00 of $100,000.00 total was encumbered in FY2009.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000-000001000000}">
      <text>
        <r>
          <rPr>
            <sz val="9"/>
            <color indexed="81"/>
            <rFont val="Tahoma"/>
            <family val="2"/>
          </rPr>
          <t xml:space="preserve">
See Cell F107 below for details.</t>
        </r>
      </text>
    </comment>
    <comment ref="H7" authorId="0" shapeId="0" xr:uid="{00000000-0006-0000-0000-000002000000}">
      <text>
        <r>
          <rPr>
            <sz val="9"/>
            <color indexed="81"/>
            <rFont val="Tahoma"/>
            <family val="2"/>
          </rPr>
          <t xml:space="preserve">
See Cell J107 below for details.</t>
        </r>
      </text>
    </comment>
    <comment ref="L7" authorId="0" shapeId="0" xr:uid="{00000000-0006-0000-0000-000003000000}">
      <text>
        <r>
          <rPr>
            <sz val="9"/>
            <color indexed="81"/>
            <rFont val="Tahoma"/>
            <family val="2"/>
          </rPr>
          <t xml:space="preserve">
See Cell N107 below for details.</t>
        </r>
      </text>
    </comment>
    <comment ref="P7" authorId="0" shapeId="0" xr:uid="{00000000-0006-0000-0000-000004000000}">
      <text>
        <r>
          <rPr>
            <sz val="9"/>
            <color indexed="81"/>
            <rFont val="Tahoma"/>
            <family val="2"/>
          </rPr>
          <t xml:space="preserve">
See Cell R107 below for details.</t>
        </r>
      </text>
    </comment>
    <comment ref="T18" authorId="0" shapeId="0" xr:uid="{00000000-0006-0000-0000-000005000000}">
      <text>
        <r>
          <rPr>
            <b/>
            <sz val="9"/>
            <color indexed="81"/>
            <rFont val="Tahoma"/>
            <family val="2"/>
          </rPr>
          <t>Bruce:</t>
        </r>
        <r>
          <rPr>
            <sz val="9"/>
            <color indexed="81"/>
            <rFont val="Tahoma"/>
            <family val="2"/>
          </rPr>
          <t xml:space="preserve">
$19,000.00 for part time Administrative Assistant's salary and benifits</t>
        </r>
      </text>
    </comment>
    <comment ref="T19" authorId="0" shapeId="0" xr:uid="{00000000-0006-0000-0000-000006000000}">
      <text>
        <r>
          <rPr>
            <b/>
            <sz val="9"/>
            <color indexed="81"/>
            <rFont val="Tahoma"/>
            <family val="2"/>
          </rPr>
          <t>Bruce:</t>
        </r>
        <r>
          <rPr>
            <sz val="9"/>
            <color indexed="81"/>
            <rFont val="Tahoma"/>
            <family val="2"/>
          </rPr>
          <t xml:space="preserve">
$3,500.00 Coalition Dues plus $6,500.00 for other committee expenses.</t>
        </r>
      </text>
    </comment>
    <comment ref="P20" authorId="0" shapeId="0" xr:uid="{00000000-0006-0000-0000-000007000000}">
      <text>
        <r>
          <rPr>
            <b/>
            <sz val="9"/>
            <color indexed="81"/>
            <rFont val="Tahoma"/>
            <family val="2"/>
          </rPr>
          <t>Bruce:</t>
        </r>
        <r>
          <rPr>
            <sz val="9"/>
            <color indexed="81"/>
            <rFont val="Tahoma"/>
            <family val="2"/>
          </rPr>
          <t xml:space="preserve">
$69,702.00 minimum principal payment
$100,000.00 additional principal payment $32,764.94 interest payment plus
$0.06 to round to nearest whole dollar </t>
        </r>
      </text>
    </comment>
    <comment ref="L22" authorId="0" shapeId="0" xr:uid="{00000000-0006-0000-0000-000008000000}">
      <text>
        <r>
          <rPr>
            <b/>
            <sz val="9"/>
            <color indexed="81"/>
            <rFont val="Tahoma"/>
            <family val="2"/>
          </rPr>
          <t>Bruce:</t>
        </r>
        <r>
          <rPr>
            <sz val="9"/>
            <color indexed="81"/>
            <rFont val="Tahoma"/>
            <family val="2"/>
          </rPr>
          <t xml:space="preserve">
$26,759.00 out of $140,000.00 was already encumbered in FY2025</t>
        </r>
      </text>
    </comment>
    <comment ref="P22" authorId="0" shapeId="0" xr:uid="{00000000-0006-0000-0000-000009000000}">
      <text>
        <r>
          <rPr>
            <b/>
            <sz val="9"/>
            <color indexed="81"/>
            <rFont val="Tahoma"/>
            <family val="2"/>
          </rPr>
          <t>Bruce:</t>
        </r>
        <r>
          <rPr>
            <sz val="9"/>
            <color indexed="81"/>
            <rFont val="Tahoma"/>
            <family val="2"/>
          </rPr>
          <t xml:space="preserve">
$60,000.00 out of $60,000.00 was already encumbered in FY2025</t>
        </r>
      </text>
    </comment>
    <comment ref="D23" authorId="0" shapeId="0" xr:uid="{00000000-0006-0000-0000-00000A000000}">
      <text>
        <r>
          <rPr>
            <b/>
            <sz val="9"/>
            <color indexed="81"/>
            <rFont val="Tahoma"/>
            <family val="2"/>
          </rPr>
          <t>Bruce:</t>
        </r>
        <r>
          <rPr>
            <sz val="9"/>
            <color indexed="81"/>
            <rFont val="Tahoma"/>
            <family val="2"/>
          </rPr>
          <t xml:space="preserve">
$150,161.00 out of $200,000.00 was already encumbered in FY2025</t>
        </r>
      </text>
    </comment>
    <comment ref="P24" authorId="0" shapeId="0" xr:uid="{00000000-0006-0000-0000-00000B000000}">
      <text>
        <r>
          <rPr>
            <b/>
            <sz val="9"/>
            <color indexed="81"/>
            <rFont val="Tahoma"/>
            <family val="2"/>
          </rPr>
          <t>Bruce:</t>
        </r>
        <r>
          <rPr>
            <sz val="9"/>
            <color indexed="81"/>
            <rFont val="Tahoma"/>
            <family val="2"/>
          </rPr>
          <t xml:space="preserve">
$42,072.94 out of $100,000.00 already encumbered in FY2025</t>
        </r>
      </text>
    </comment>
    <comment ref="H26" authorId="0" shapeId="0" xr:uid="{00000000-0006-0000-0000-00000C000000}">
      <text>
        <r>
          <rPr>
            <b/>
            <sz val="9"/>
            <color indexed="81"/>
            <rFont val="Tahoma"/>
            <family val="2"/>
          </rPr>
          <t>Bruce:</t>
        </r>
        <r>
          <rPr>
            <sz val="9"/>
            <color indexed="81"/>
            <rFont val="Tahoma"/>
            <family val="2"/>
          </rPr>
          <t xml:space="preserve">
$153,000 already encumbered in FY2025</t>
        </r>
      </text>
    </comment>
    <comment ref="H27" authorId="0" shapeId="0" xr:uid="{00000000-0006-0000-0000-00000D000000}">
      <text>
        <r>
          <rPr>
            <b/>
            <sz val="9"/>
            <color indexed="81"/>
            <rFont val="Tahoma"/>
            <family val="2"/>
          </rPr>
          <t>Bruce:</t>
        </r>
        <r>
          <rPr>
            <sz val="9"/>
            <color indexed="81"/>
            <rFont val="Tahoma"/>
            <family val="2"/>
          </rPr>
          <t xml:space="preserve">
$70,000.00 already encumbered in FY2025</t>
        </r>
      </text>
    </comment>
    <comment ref="H30" authorId="0" shapeId="0" xr:uid="{00000000-0006-0000-0000-00000E000000}">
      <text>
        <r>
          <rPr>
            <b/>
            <sz val="9"/>
            <color indexed="81"/>
            <rFont val="Tahoma"/>
            <family val="2"/>
          </rPr>
          <t>Bruce:</t>
        </r>
        <r>
          <rPr>
            <sz val="9"/>
            <color indexed="81"/>
            <rFont val="Tahoma"/>
            <family val="2"/>
          </rPr>
          <t xml:space="preserve">
$62,675 already encumbured in FY2025</t>
        </r>
      </text>
    </comment>
    <comment ref="H31" authorId="0" shapeId="0" xr:uid="{00000000-0006-0000-0000-00000F000000}">
      <text>
        <r>
          <rPr>
            <b/>
            <sz val="9"/>
            <color indexed="81"/>
            <rFont val="Tahoma"/>
            <family val="2"/>
          </rPr>
          <t>Bruce:</t>
        </r>
        <r>
          <rPr>
            <sz val="9"/>
            <color indexed="81"/>
            <rFont val="Tahoma"/>
            <family val="2"/>
          </rPr>
          <t xml:space="preserve">
$45,731.00 already encumbered in FY2025</t>
        </r>
      </text>
    </comment>
    <comment ref="P46" authorId="0" shapeId="0" xr:uid="{00000000-0006-0000-0000-000010000000}">
      <text>
        <r>
          <rPr>
            <b/>
            <sz val="9"/>
            <color indexed="81"/>
            <rFont val="Tahoma"/>
            <family val="2"/>
          </rPr>
          <t>Bruce:</t>
        </r>
        <r>
          <rPr>
            <sz val="9"/>
            <color indexed="81"/>
            <rFont val="Tahoma"/>
            <family val="2"/>
          </rPr>
          <t xml:space="preserve">
After $169,702.00 and $30,000.00 payments are made toward principal then $627,000 of principal will remain.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200-000001000000}">
      <text>
        <r>
          <rPr>
            <sz val="9"/>
            <color indexed="81"/>
            <rFont val="Tahoma"/>
            <family val="2"/>
          </rPr>
          <t>See Cell F107 below for details.</t>
        </r>
      </text>
    </comment>
    <comment ref="H7" authorId="0" shapeId="0" xr:uid="{00000000-0006-0000-1200-000002000000}">
      <text>
        <r>
          <rPr>
            <sz val="9"/>
            <color indexed="81"/>
            <rFont val="Tahoma"/>
            <family val="2"/>
          </rPr>
          <t>See Cell J110 below for details.</t>
        </r>
      </text>
    </comment>
    <comment ref="L7" authorId="0" shapeId="0" xr:uid="{00000000-0006-0000-1200-000003000000}">
      <text>
        <r>
          <rPr>
            <sz val="9"/>
            <color indexed="81"/>
            <rFont val="Tahoma"/>
            <family val="2"/>
          </rPr>
          <t>See Cell N110 below for details.</t>
        </r>
      </text>
    </comment>
    <comment ref="P7" authorId="0" shapeId="0" xr:uid="{00000000-0006-0000-1200-000004000000}">
      <text>
        <r>
          <rPr>
            <sz val="9"/>
            <color indexed="81"/>
            <rFont val="Tahoma"/>
            <family val="2"/>
          </rPr>
          <t>See Cell R110 below for details.</t>
        </r>
      </text>
    </comment>
    <comment ref="L19" authorId="0" shapeId="0" xr:uid="{00000000-0006-0000-1200-000005000000}">
      <text>
        <r>
          <rPr>
            <b/>
            <sz val="9"/>
            <color indexed="81"/>
            <rFont val="Tahoma"/>
            <family val="2"/>
          </rPr>
          <t>Bruce:</t>
        </r>
        <r>
          <rPr>
            <sz val="9"/>
            <color indexed="81"/>
            <rFont val="Tahoma"/>
            <family val="2"/>
          </rPr>
          <t xml:space="preserve">
$73,000.00 of FY08 Surrenden Farm debt service payment from Open Space encumbered in FY2007.</t>
        </r>
      </text>
    </comment>
    <comment ref="P19" authorId="0" shapeId="0" xr:uid="{00000000-0006-0000-1200-000006000000}">
      <text>
        <r>
          <rPr>
            <b/>
            <sz val="9"/>
            <color indexed="81"/>
            <rFont val="Tahoma"/>
            <family val="2"/>
          </rPr>
          <t>Bruce:</t>
        </r>
        <r>
          <rPr>
            <sz val="9"/>
            <color indexed="81"/>
            <rFont val="Tahoma"/>
            <family val="2"/>
          </rPr>
          <t xml:space="preserve">
$240,297.00 of FY08 Surrenden Farm debt service payment from Unallocated Reserve encumbered in FY2007.</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300-000001000000}">
      <text>
        <r>
          <rPr>
            <sz val="9"/>
            <color indexed="81"/>
            <rFont val="Tahoma"/>
            <family val="2"/>
          </rPr>
          <t>See Cell F94 below for details.</t>
        </r>
      </text>
    </comment>
    <comment ref="H7" authorId="0" shapeId="0" xr:uid="{00000000-0006-0000-1300-000002000000}">
      <text>
        <r>
          <rPr>
            <sz val="9"/>
            <color indexed="81"/>
            <rFont val="Tahoma"/>
            <family val="2"/>
          </rPr>
          <t>See Cell J96 below for details.</t>
        </r>
      </text>
    </comment>
    <comment ref="L7" authorId="0" shapeId="0" xr:uid="{00000000-0006-0000-1300-000003000000}">
      <text>
        <r>
          <rPr>
            <sz val="9"/>
            <color indexed="81"/>
            <rFont val="Tahoma"/>
            <family val="2"/>
          </rPr>
          <t>See Cell N94 below for details.</t>
        </r>
      </text>
    </comment>
    <comment ref="P7" authorId="0" shapeId="0" xr:uid="{00000000-0006-0000-1300-000004000000}">
      <text>
        <r>
          <rPr>
            <sz val="9"/>
            <color indexed="81"/>
            <rFont val="Tahoma"/>
            <family val="2"/>
          </rPr>
          <t>See Cell R95 below for details.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400-000001000000}">
      <text>
        <r>
          <rPr>
            <sz val="9"/>
            <color indexed="81"/>
            <rFont val="Tahoma"/>
            <family val="2"/>
          </rPr>
          <t>See Cell F76 below for details.</t>
        </r>
      </text>
    </comment>
    <comment ref="H7" authorId="0" shapeId="0" xr:uid="{00000000-0006-0000-1400-000002000000}">
      <text>
        <r>
          <rPr>
            <sz val="9"/>
            <color indexed="81"/>
            <rFont val="Tahoma"/>
            <family val="2"/>
          </rPr>
          <t>See Cell J76 below for details.</t>
        </r>
      </text>
    </comment>
    <comment ref="L7" authorId="0" shapeId="0" xr:uid="{00000000-0006-0000-1400-000003000000}">
      <text>
        <r>
          <rPr>
            <sz val="9"/>
            <color indexed="81"/>
            <rFont val="Tahoma"/>
            <family val="2"/>
          </rPr>
          <t>See Cell N76 below for details.</t>
        </r>
      </text>
    </comment>
    <comment ref="P7" authorId="0" shapeId="0" xr:uid="{00000000-0006-0000-1400-000004000000}">
      <text>
        <r>
          <rPr>
            <sz val="9"/>
            <color indexed="81"/>
            <rFont val="Tahoma"/>
            <family val="2"/>
          </rPr>
          <t>See Cell R76 below for details.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100-000001000000}">
      <text>
        <r>
          <rPr>
            <sz val="9"/>
            <color indexed="81"/>
            <rFont val="Tahoma"/>
            <family val="2"/>
          </rPr>
          <t xml:space="preserve">
See Cell F131 below for details.</t>
        </r>
      </text>
    </comment>
    <comment ref="H7" authorId="0" shapeId="0" xr:uid="{00000000-0006-0000-0100-000002000000}">
      <text>
        <r>
          <rPr>
            <sz val="9"/>
            <color indexed="81"/>
            <rFont val="Tahoma"/>
            <family val="2"/>
          </rPr>
          <t xml:space="preserve">
See Cell J131 below for details.</t>
        </r>
      </text>
    </comment>
    <comment ref="L7" authorId="0" shapeId="0" xr:uid="{00000000-0006-0000-0100-000003000000}">
      <text>
        <r>
          <rPr>
            <sz val="9"/>
            <color indexed="81"/>
            <rFont val="Tahoma"/>
            <family val="2"/>
          </rPr>
          <t xml:space="preserve">
See Cell N132 below for details.</t>
        </r>
      </text>
    </comment>
    <comment ref="P7" authorId="0" shapeId="0" xr:uid="{00000000-0006-0000-0100-000004000000}">
      <text>
        <r>
          <rPr>
            <sz val="9"/>
            <color indexed="81"/>
            <rFont val="Tahoma"/>
            <family val="2"/>
          </rPr>
          <t xml:space="preserve">
See Cell R138 below for details.</t>
        </r>
      </text>
    </comment>
    <comment ref="T18" authorId="0" shapeId="0" xr:uid="{00000000-0006-0000-0100-000005000000}">
      <text>
        <r>
          <rPr>
            <b/>
            <sz val="9"/>
            <color indexed="81"/>
            <rFont val="Tahoma"/>
            <family val="2"/>
          </rPr>
          <t>Bruce:</t>
        </r>
        <r>
          <rPr>
            <sz val="9"/>
            <color indexed="81"/>
            <rFont val="Tahoma"/>
            <family val="2"/>
          </rPr>
          <t xml:space="preserve">
$17,500 for part time Administrative Assistant's salary and benifits</t>
        </r>
      </text>
    </comment>
    <comment ref="T19" authorId="0" shapeId="0" xr:uid="{00000000-0006-0000-0100-000006000000}">
      <text>
        <r>
          <rPr>
            <b/>
            <sz val="9"/>
            <color indexed="81"/>
            <rFont val="Tahoma"/>
            <family val="2"/>
          </rPr>
          <t>Bruce:</t>
        </r>
        <r>
          <rPr>
            <sz val="9"/>
            <color indexed="81"/>
            <rFont val="Tahoma"/>
            <family val="2"/>
          </rPr>
          <t xml:space="preserve">
$3,500 Coalition Dues plus $6,500.00 for other committee expenses.</t>
        </r>
      </text>
    </comment>
    <comment ref="P20" authorId="0" shapeId="0" xr:uid="{00000000-0006-0000-0100-000007000000}">
      <text>
        <r>
          <rPr>
            <b/>
            <sz val="9"/>
            <color indexed="81"/>
            <rFont val="Tahoma"/>
            <family val="2"/>
          </rPr>
          <t>Bruce:</t>
        </r>
        <r>
          <rPr>
            <sz val="9"/>
            <color indexed="81"/>
            <rFont val="Tahoma"/>
            <family val="2"/>
          </rPr>
          <t xml:space="preserve">
$175,672.00 minimum principal payment + $  59,400.00 interest payment</t>
        </r>
      </text>
    </comment>
    <comment ref="H24" authorId="0" shapeId="0" xr:uid="{00000000-0006-0000-0100-000008000000}">
      <text>
        <r>
          <rPr>
            <b/>
            <sz val="9"/>
            <color indexed="81"/>
            <rFont val="Tahoma"/>
            <family val="2"/>
          </rPr>
          <t>Bruce:</t>
        </r>
        <r>
          <rPr>
            <sz val="9"/>
            <color indexed="81"/>
            <rFont val="Tahoma"/>
            <family val="2"/>
          </rPr>
          <t xml:space="preserve">
$87,799.00 of $100,000.00 total already encumbered in FY2024.</t>
        </r>
      </text>
    </comment>
    <comment ref="D28" authorId="0" shapeId="0" xr:uid="{00000000-0006-0000-0100-000009000000}">
      <text>
        <r>
          <rPr>
            <b/>
            <sz val="9"/>
            <color indexed="81"/>
            <rFont val="Tahoma"/>
            <family val="2"/>
          </rPr>
          <t>Bruce:</t>
        </r>
        <r>
          <rPr>
            <sz val="9"/>
            <color indexed="81"/>
            <rFont val="Tahoma"/>
            <family val="2"/>
          </rPr>
          <t xml:space="preserve">
$355,699.00 of $400,000.00 total already encumbered in FY2024.</t>
        </r>
      </text>
    </comment>
    <comment ref="P34" authorId="0" shapeId="0" xr:uid="{00000000-0006-0000-0100-00000A000000}">
      <text>
        <r>
          <rPr>
            <b/>
            <sz val="9"/>
            <color indexed="81"/>
            <rFont val="Tahoma"/>
            <family val="2"/>
          </rPr>
          <t>Bruce:</t>
        </r>
        <r>
          <rPr>
            <sz val="9"/>
            <color indexed="81"/>
            <rFont val="Tahoma"/>
            <family val="2"/>
          </rPr>
          <t xml:space="preserve">
Additional payment to reduce principal.
After $400,000.00 is paid then $829,702.00 of principal remains.</t>
        </r>
      </text>
    </comment>
    <comment ref="P47" authorId="0" shapeId="0" xr:uid="{00000000-0006-0000-0100-00000B000000}">
      <text>
        <r>
          <rPr>
            <b/>
            <sz val="9"/>
            <color indexed="81"/>
            <rFont val="Tahoma"/>
            <family val="2"/>
          </rPr>
          <t>Bruce:</t>
        </r>
        <r>
          <rPr>
            <sz val="9"/>
            <color indexed="81"/>
            <rFont val="Tahoma"/>
            <family val="2"/>
          </rPr>
          <t xml:space="preserve">
Paid $575,672.00 toward principal
and $59,310.52 in interest. After payment, principal balance is $829,702.00.</t>
        </r>
      </text>
    </comment>
    <comment ref="P101" authorId="0" shapeId="0" xr:uid="{00000000-0006-0000-0100-00000C000000}">
      <text>
        <r>
          <rPr>
            <b/>
            <sz val="9"/>
            <color indexed="81"/>
            <rFont val="Tahoma"/>
            <family val="2"/>
          </rPr>
          <t>Bruce:</t>
        </r>
        <r>
          <rPr>
            <sz val="9"/>
            <color indexed="81"/>
            <rFont val="Tahoma"/>
            <family val="2"/>
          </rPr>
          <t xml:space="preserve">
$69,702.00 minimum principal payment
$100,000.00 additional principal payment $32,764.94 interest payment plus
$0.06 to round to nearest whole dollar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200-000001000000}">
      <text>
        <r>
          <rPr>
            <sz val="9"/>
            <color indexed="81"/>
            <rFont val="Tahoma"/>
            <family val="2"/>
          </rPr>
          <t xml:space="preserve">
See Cell F136 below for details.</t>
        </r>
      </text>
    </comment>
    <comment ref="H7" authorId="0" shapeId="0" xr:uid="{00000000-0006-0000-0200-000002000000}">
      <text>
        <r>
          <rPr>
            <sz val="9"/>
            <color indexed="81"/>
            <rFont val="Tahoma"/>
            <family val="2"/>
          </rPr>
          <t xml:space="preserve">
See Cell J136 below for details.</t>
        </r>
      </text>
    </comment>
    <comment ref="L7" authorId="0" shapeId="0" xr:uid="{00000000-0006-0000-0200-000003000000}">
      <text>
        <r>
          <rPr>
            <sz val="9"/>
            <color indexed="81"/>
            <rFont val="Tahoma"/>
            <family val="2"/>
          </rPr>
          <t xml:space="preserve">
See Cell N136 below for details.</t>
        </r>
      </text>
    </comment>
    <comment ref="P7" authorId="0" shapeId="0" xr:uid="{00000000-0006-0000-0200-000004000000}">
      <text>
        <r>
          <rPr>
            <sz val="9"/>
            <color indexed="81"/>
            <rFont val="Tahoma"/>
            <family val="2"/>
          </rPr>
          <t xml:space="preserve">
See Cell R136 below for details.</t>
        </r>
      </text>
    </comment>
    <comment ref="T18" authorId="0" shapeId="0" xr:uid="{00000000-0006-0000-0200-000005000000}">
      <text>
        <r>
          <rPr>
            <b/>
            <sz val="9"/>
            <color indexed="81"/>
            <rFont val="Tahoma"/>
            <family val="2"/>
          </rPr>
          <t>Bruce:</t>
        </r>
        <r>
          <rPr>
            <sz val="9"/>
            <color indexed="81"/>
            <rFont val="Tahoma"/>
            <family val="2"/>
          </rPr>
          <t xml:space="preserve">
$15,000 for part time Administrative Assistant's salary and benifits</t>
        </r>
      </text>
    </comment>
    <comment ref="T19" authorId="0" shapeId="0" xr:uid="{00000000-0006-0000-0200-000006000000}">
      <text>
        <r>
          <rPr>
            <b/>
            <sz val="9"/>
            <color indexed="81"/>
            <rFont val="Tahoma"/>
            <family val="2"/>
          </rPr>
          <t>Bruce:</t>
        </r>
        <r>
          <rPr>
            <sz val="9"/>
            <color indexed="81"/>
            <rFont val="Tahoma"/>
            <family val="2"/>
          </rPr>
          <t xml:space="preserve">
$3,500 Coalition Dues plus $1,500.00 for other committee expenses.</t>
        </r>
      </text>
    </comment>
    <comment ref="D22" authorId="0" shapeId="0" xr:uid="{00000000-0006-0000-0200-000007000000}">
      <text>
        <r>
          <rPr>
            <b/>
            <sz val="9"/>
            <color indexed="81"/>
            <rFont val="Tahoma"/>
            <family val="2"/>
          </rPr>
          <t>Bruce:</t>
        </r>
        <r>
          <rPr>
            <sz val="9"/>
            <color indexed="81"/>
            <rFont val="Tahoma"/>
            <family val="2"/>
          </rPr>
          <t xml:space="preserve">
$148,866.00 of the $200,000.00 total was already encumbered in FY2023.</t>
        </r>
      </text>
    </comment>
    <comment ref="P36" authorId="0" shapeId="0" xr:uid="{00000000-0006-0000-0200-000008000000}">
      <text>
        <r>
          <rPr>
            <b/>
            <sz val="9"/>
            <color indexed="81"/>
            <rFont val="Tahoma"/>
            <family val="2"/>
          </rPr>
          <t>Bruce:</t>
        </r>
        <r>
          <rPr>
            <sz val="9"/>
            <color indexed="81"/>
            <rFont val="Tahoma"/>
            <family val="2"/>
          </rPr>
          <t xml:space="preserve">
$140,000.00 principal payment minus amount paid using Open Space Reserve. $4,590.00 interest payment previously authorized by 2022-14 April 2023 TM.</t>
        </r>
      </text>
    </comment>
    <comment ref="P55" authorId="0" shapeId="0" xr:uid="{00000000-0006-0000-0200-000009000000}">
      <text>
        <r>
          <rPr>
            <b/>
            <sz val="9"/>
            <color indexed="81"/>
            <rFont val="Tahoma"/>
            <family val="2"/>
          </rPr>
          <t>Bruce:</t>
        </r>
        <r>
          <rPr>
            <sz val="9"/>
            <color indexed="81"/>
            <rFont val="Tahoma"/>
            <family val="2"/>
          </rPr>
          <t xml:space="preserve">
Interest payment on Interest-only bond anticipation note. Outstanding principal remains $1,405,374.00</t>
        </r>
      </text>
    </comment>
    <comment ref="P60" authorId="0" shapeId="0" xr:uid="{00000000-0006-0000-0200-00000A000000}">
      <text>
        <r>
          <rPr>
            <b/>
            <sz val="9"/>
            <color indexed="81"/>
            <rFont val="Tahoma"/>
            <family val="2"/>
          </rPr>
          <t>Bruce</t>
        </r>
        <r>
          <rPr>
            <sz val="9"/>
            <color indexed="81"/>
            <rFont val="Tahoma"/>
            <family val="2"/>
          </rPr>
          <t xml:space="preserve">
Payment of $140,000 toward principal plus $4,590 in interest</t>
        </r>
      </text>
    </comment>
    <comment ref="T102" authorId="0" shapeId="0" xr:uid="{00000000-0006-0000-0200-00000B000000}">
      <text>
        <r>
          <rPr>
            <b/>
            <sz val="9"/>
            <color indexed="81"/>
            <rFont val="Tahoma"/>
            <family val="2"/>
          </rPr>
          <t>Bruce:</t>
        </r>
        <r>
          <rPr>
            <sz val="9"/>
            <color indexed="81"/>
            <rFont val="Tahoma"/>
            <family val="2"/>
          </rPr>
          <t xml:space="preserve">
$17,500 for part time Administrative Assistant's salary and benifits</t>
        </r>
      </text>
    </comment>
    <comment ref="T103" authorId="0" shapeId="0" xr:uid="{00000000-0006-0000-0200-00000C000000}">
      <text>
        <r>
          <rPr>
            <b/>
            <sz val="9"/>
            <color indexed="81"/>
            <rFont val="Tahoma"/>
            <family val="2"/>
          </rPr>
          <t>Bruce:</t>
        </r>
        <r>
          <rPr>
            <sz val="9"/>
            <color indexed="81"/>
            <rFont val="Tahoma"/>
            <family val="2"/>
          </rPr>
          <t xml:space="preserve">
$3,500 Coalition Dues plus $6,500.00 for other committee expenses.</t>
        </r>
      </text>
    </comment>
    <comment ref="P105" authorId="0" shapeId="0" xr:uid="{00000000-0006-0000-0200-00000D000000}">
      <text>
        <r>
          <rPr>
            <b/>
            <sz val="9"/>
            <color indexed="81"/>
            <rFont val="Tahoma"/>
            <family val="2"/>
          </rPr>
          <t>Bruce:</t>
        </r>
        <r>
          <rPr>
            <sz val="9"/>
            <color indexed="81"/>
            <rFont val="Tahoma"/>
            <family val="2"/>
          </rPr>
          <t xml:space="preserve">
$175,672 prinipal plus $59,400.00 interest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300-000001000000}">
      <text>
        <r>
          <rPr>
            <sz val="9"/>
            <color indexed="81"/>
            <rFont val="Tahoma"/>
            <family val="2"/>
          </rPr>
          <t>See Cell F105 below for details.</t>
        </r>
      </text>
    </comment>
    <comment ref="H7" authorId="0" shapeId="0" xr:uid="{00000000-0006-0000-0300-000002000000}">
      <text>
        <r>
          <rPr>
            <sz val="9"/>
            <color indexed="81"/>
            <rFont val="Tahoma"/>
            <family val="2"/>
          </rPr>
          <t>See Cell J110 below for details.</t>
        </r>
      </text>
    </comment>
    <comment ref="L7" authorId="0" shapeId="0" xr:uid="{00000000-0006-0000-0300-000003000000}">
      <text>
        <r>
          <rPr>
            <sz val="9"/>
            <color indexed="81"/>
            <rFont val="Tahoma"/>
            <family val="2"/>
          </rPr>
          <t>See Cell N107 below for details.</t>
        </r>
      </text>
    </comment>
    <comment ref="P7" authorId="0" shapeId="0" xr:uid="{00000000-0006-0000-0300-000004000000}">
      <text>
        <r>
          <rPr>
            <sz val="9"/>
            <color indexed="81"/>
            <rFont val="Tahoma"/>
            <family val="2"/>
          </rPr>
          <t>See Cell R111 below for details.</t>
        </r>
      </text>
    </comment>
    <comment ref="T18" authorId="0" shapeId="0" xr:uid="{00000000-0006-0000-0300-000005000000}">
      <text>
        <r>
          <rPr>
            <b/>
            <sz val="9"/>
            <color indexed="81"/>
            <rFont val="Tahoma"/>
            <family val="2"/>
          </rPr>
          <t>Bruce:</t>
        </r>
        <r>
          <rPr>
            <sz val="9"/>
            <color indexed="81"/>
            <rFont val="Tahoma"/>
            <family val="2"/>
          </rPr>
          <t xml:space="preserve">
$15,500 for part time Administrative Assistant's salary and benifits</t>
        </r>
      </text>
    </comment>
    <comment ref="T19" authorId="0" shapeId="0" xr:uid="{00000000-0006-0000-0300-000006000000}">
      <text>
        <r>
          <rPr>
            <b/>
            <sz val="9"/>
            <color indexed="81"/>
            <rFont val="Tahoma"/>
            <family val="2"/>
          </rPr>
          <t>Bruce:</t>
        </r>
        <r>
          <rPr>
            <sz val="9"/>
            <color indexed="81"/>
            <rFont val="Tahoma"/>
            <family val="2"/>
          </rPr>
          <t xml:space="preserve">
$3,500 Coalition Dues plus $1,500.00 for other committee expenses.</t>
        </r>
      </text>
    </comment>
    <comment ref="L20" authorId="0" shapeId="0" xr:uid="{00000000-0006-0000-0300-000007000000}">
      <text>
        <r>
          <rPr>
            <b/>
            <sz val="9"/>
            <color indexed="81"/>
            <rFont val="Tahoma"/>
            <family val="2"/>
          </rPr>
          <t>Bruce:</t>
        </r>
        <r>
          <rPr>
            <sz val="9"/>
            <color indexed="81"/>
            <rFont val="Tahoma"/>
            <family val="2"/>
          </rPr>
          <t xml:space="preserve">
$8,009.00 was already encumbured in FY2022</t>
        </r>
      </text>
    </comment>
    <comment ref="P20" authorId="0" shapeId="0" xr:uid="{00000000-0006-0000-0300-000008000000}">
      <text>
        <r>
          <rPr>
            <b/>
            <sz val="9"/>
            <color indexed="81"/>
            <rFont val="Tahoma"/>
            <family val="2"/>
          </rPr>
          <t>Bruce:</t>
        </r>
        <r>
          <rPr>
            <sz val="9"/>
            <color indexed="81"/>
            <rFont val="Tahoma"/>
            <family val="2"/>
          </rPr>
          <t xml:space="preserve">
$231,381 was already encumbured in FY2022</t>
        </r>
      </text>
    </comment>
    <comment ref="P27" authorId="0" shapeId="0" xr:uid="{00000000-0006-0000-0300-000009000000}">
      <text>
        <r>
          <rPr>
            <b/>
            <sz val="9"/>
            <color indexed="81"/>
            <rFont val="Tahoma"/>
            <family val="2"/>
          </rPr>
          <t>Bruce:</t>
        </r>
        <r>
          <rPr>
            <sz val="9"/>
            <color indexed="81"/>
            <rFont val="Tahoma"/>
            <family val="2"/>
          </rPr>
          <t xml:space="preserve">
The article authorizes the town to borrow $1,000,000. No debt service payment was authorized at the May 2022 Annual Town Meeting.</t>
        </r>
      </text>
    </comment>
    <comment ref="P31" authorId="0" shapeId="0" xr:uid="{00000000-0006-0000-0300-00000A000000}">
      <text>
        <r>
          <rPr>
            <b/>
            <sz val="9"/>
            <color indexed="81"/>
            <rFont val="Tahoma"/>
            <family val="2"/>
          </rPr>
          <t>Bruce:</t>
        </r>
        <r>
          <rPr>
            <sz val="9"/>
            <color indexed="81"/>
            <rFont val="Tahoma"/>
            <family val="2"/>
          </rPr>
          <t xml:space="preserve">
Interest payment on interest-only bond anticiptaion note.
The article's borrowing authorization is for $1,000,000.</t>
        </r>
      </text>
    </comment>
    <comment ref="P57" authorId="0" shapeId="0" xr:uid="{00000000-0006-0000-0300-00000B000000}">
      <text>
        <r>
          <rPr>
            <b/>
            <sz val="9"/>
            <color indexed="81"/>
            <rFont val="Tahoma"/>
            <family val="2"/>
          </rPr>
          <t>Bruce:</t>
        </r>
        <r>
          <rPr>
            <sz val="9"/>
            <color indexed="81"/>
            <rFont val="Tahoma"/>
            <family val="2"/>
          </rPr>
          <t xml:space="preserve">
Interest payment on interest-only bond anticiptaion note.
$1,405,374 principal remains.</t>
        </r>
      </text>
    </comment>
    <comment ref="P58" authorId="0" shapeId="0" xr:uid="{00000000-0006-0000-0300-00000C000000}">
      <text>
        <r>
          <rPr>
            <b/>
            <sz val="9"/>
            <color indexed="81"/>
            <rFont val="Tahoma"/>
            <family val="2"/>
          </rPr>
          <t>Bruce:</t>
        </r>
        <r>
          <rPr>
            <sz val="9"/>
            <color indexed="81"/>
            <rFont val="Tahoma"/>
            <family val="2"/>
          </rPr>
          <t xml:space="preserve">
$231,381 was already encumbured in FY2022</t>
        </r>
      </text>
    </comment>
    <comment ref="T96" authorId="0" shapeId="0" xr:uid="{00000000-0006-0000-0300-00000D000000}">
      <text>
        <r>
          <rPr>
            <b/>
            <sz val="9"/>
            <color indexed="81"/>
            <rFont val="Tahoma"/>
            <family val="2"/>
          </rPr>
          <t>Bruce:</t>
        </r>
        <r>
          <rPr>
            <sz val="9"/>
            <color indexed="81"/>
            <rFont val="Tahoma"/>
            <family val="2"/>
          </rPr>
          <t xml:space="preserve">
$15,500 for part time Administrative Assistant's salary and benifits</t>
        </r>
      </text>
    </comment>
    <comment ref="T97" authorId="0" shapeId="0" xr:uid="{00000000-0006-0000-0300-00000E000000}">
      <text>
        <r>
          <rPr>
            <b/>
            <sz val="9"/>
            <color indexed="81"/>
            <rFont val="Tahoma"/>
            <family val="2"/>
          </rPr>
          <t>Bruce:</t>
        </r>
        <r>
          <rPr>
            <sz val="9"/>
            <color indexed="81"/>
            <rFont val="Tahoma"/>
            <family val="2"/>
          </rPr>
          <t xml:space="preserve">
$3,500 Coalition Dues plus $1,500.00 for other committee expenses.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400-000001000000}">
      <text>
        <r>
          <rPr>
            <sz val="9"/>
            <color indexed="81"/>
            <rFont val="Tahoma"/>
            <family val="2"/>
          </rPr>
          <t>See Cell F8121 below for details.</t>
        </r>
      </text>
    </comment>
    <comment ref="H7" authorId="0" shapeId="0" xr:uid="{00000000-0006-0000-0400-000002000000}">
      <text>
        <r>
          <rPr>
            <sz val="9"/>
            <color indexed="81"/>
            <rFont val="Tahoma"/>
            <family val="2"/>
          </rPr>
          <t>See Cell J126 below for details.</t>
        </r>
      </text>
    </comment>
    <comment ref="L7" authorId="0" shapeId="0" xr:uid="{00000000-0006-0000-0400-000003000000}">
      <text>
        <r>
          <rPr>
            <sz val="9"/>
            <color indexed="81"/>
            <rFont val="Tahoma"/>
            <family val="2"/>
          </rPr>
          <t>See Cell N122 below for details.</t>
        </r>
      </text>
    </comment>
    <comment ref="P7" authorId="0" shapeId="0" xr:uid="{00000000-0006-0000-0400-000004000000}">
      <text>
        <r>
          <rPr>
            <sz val="9"/>
            <color indexed="81"/>
            <rFont val="Tahoma"/>
            <family val="2"/>
          </rPr>
          <t>See Cell R125 below for details.</t>
        </r>
      </text>
    </comment>
    <comment ref="P13" authorId="0" shapeId="0" xr:uid="{00000000-0006-0000-0400-000005000000}">
      <text>
        <r>
          <rPr>
            <b/>
            <sz val="9"/>
            <color indexed="81"/>
            <rFont val="Tahoma"/>
            <family val="2"/>
          </rPr>
          <t>Bruce:</t>
        </r>
        <r>
          <rPr>
            <sz val="9"/>
            <color indexed="81"/>
            <rFont val="Tahoma"/>
            <family val="2"/>
          </rPr>
          <t xml:space="preserve">
Correction to FY2021 gift for Duck Pond Phase II project.</t>
        </r>
      </text>
    </comment>
    <comment ref="T18" authorId="0" shapeId="0" xr:uid="{00000000-0006-0000-0400-000006000000}">
      <text>
        <r>
          <rPr>
            <b/>
            <sz val="9"/>
            <color indexed="81"/>
            <rFont val="Tahoma"/>
            <family val="2"/>
          </rPr>
          <t>Bruce:</t>
        </r>
        <r>
          <rPr>
            <sz val="9"/>
            <color indexed="81"/>
            <rFont val="Tahoma"/>
            <family val="2"/>
          </rPr>
          <t xml:space="preserve">
$15,200 for part time Administrative Assistant's salary and benifits</t>
        </r>
      </text>
    </comment>
    <comment ref="T19" authorId="0" shapeId="0" xr:uid="{00000000-0006-0000-0400-000007000000}">
      <text>
        <r>
          <rPr>
            <b/>
            <sz val="9"/>
            <color indexed="81"/>
            <rFont val="Tahoma"/>
            <family val="2"/>
          </rPr>
          <t>Bruce:</t>
        </r>
        <r>
          <rPr>
            <sz val="9"/>
            <color indexed="81"/>
            <rFont val="Tahoma"/>
            <family val="2"/>
          </rPr>
          <t xml:space="preserve">
$2,500 Coalition Dues plus $2,500.00 for other committee expenses.</t>
        </r>
      </text>
    </comment>
    <comment ref="L20" authorId="0" shapeId="0" xr:uid="{00000000-0006-0000-0400-000008000000}">
      <text>
        <r>
          <rPr>
            <b/>
            <sz val="9"/>
            <color indexed="81"/>
            <rFont val="Tahoma"/>
            <family val="2"/>
          </rPr>
          <t>Bruce:</t>
        </r>
        <r>
          <rPr>
            <sz val="9"/>
            <color indexed="81"/>
            <rFont val="Tahoma"/>
            <family val="2"/>
          </rPr>
          <t xml:space="preserve">
$145,000.00 of $204,150.00 
Surrenden Farm debt service payment to be paid from Open Space Reserve.
$68,259 was already encumbered in FY2021.</t>
        </r>
      </text>
    </comment>
    <comment ref="P20" authorId="0" shapeId="0" xr:uid="{00000000-0006-0000-0400-000009000000}">
      <text>
        <r>
          <rPr>
            <b/>
            <sz val="9"/>
            <color indexed="81"/>
            <rFont val="Tahoma"/>
            <family val="2"/>
          </rPr>
          <t xml:space="preserve">Bruce:
</t>
        </r>
        <r>
          <rPr>
            <sz val="9"/>
            <color indexed="81"/>
            <rFont val="Tahoma"/>
            <family val="2"/>
          </rPr>
          <t>$59,150.00 of $204,150.00 Surrenden Farm debt service payment to be paid from Unallocated Reserve.</t>
        </r>
      </text>
    </comment>
    <comment ref="D24" authorId="0" shapeId="0" xr:uid="{00000000-0006-0000-0400-00000A000000}">
      <text>
        <r>
          <rPr>
            <b/>
            <sz val="9"/>
            <color indexed="81"/>
            <rFont val="Tahoma"/>
            <family val="2"/>
          </rPr>
          <t>Bruce:</t>
        </r>
        <r>
          <rPr>
            <sz val="9"/>
            <color indexed="81"/>
            <rFont val="Tahoma"/>
            <family val="2"/>
          </rPr>
          <t xml:space="preserve">
Out of the $75,000.00 total, $37,876.00 was encumbered in FY21.</t>
        </r>
      </text>
    </comment>
    <comment ref="P26" authorId="0" shapeId="0" xr:uid="{00000000-0006-0000-0400-00000B000000}">
      <text>
        <r>
          <rPr>
            <b/>
            <sz val="9"/>
            <color indexed="81"/>
            <rFont val="Tahoma"/>
            <family val="2"/>
          </rPr>
          <t>Bruce:</t>
        </r>
        <r>
          <rPr>
            <sz val="9"/>
            <color indexed="81"/>
            <rFont val="Tahoma"/>
            <family val="2"/>
          </rPr>
          <t xml:space="preserve">
Town meeting approved $19,800.00 and Bob and his neighbors donated #3,700.00</t>
        </r>
      </text>
    </comment>
    <comment ref="P29" authorId="0" shapeId="0" xr:uid="{00000000-0006-0000-0400-00000C000000}">
      <text>
        <r>
          <rPr>
            <b/>
            <sz val="9"/>
            <color indexed="81"/>
            <rFont val="Tahoma"/>
            <family val="2"/>
          </rPr>
          <t>Bruce:</t>
        </r>
        <r>
          <rPr>
            <sz val="9"/>
            <color indexed="81"/>
            <rFont val="Tahoma"/>
            <family val="2"/>
          </rPr>
          <t xml:space="preserve">
$243,975.00 of $350,000.00 FY22 
Conservation Fund was already encumbered in FY2021.</t>
        </r>
      </text>
    </comment>
    <comment ref="P32" authorId="0" shapeId="0" xr:uid="{00000000-0006-0000-0400-00000D000000}">
      <text>
        <r>
          <rPr>
            <b/>
            <sz val="9"/>
            <color indexed="81"/>
            <rFont val="Tahoma"/>
            <family val="2"/>
          </rPr>
          <t>Bruce:</t>
        </r>
        <r>
          <rPr>
            <sz val="9"/>
            <color indexed="81"/>
            <rFont val="Tahoma"/>
            <family val="2"/>
          </rPr>
          <t xml:space="preserve">
Town meeting authorizes borrowing of $1,405,374.00 to be repaid over 5 years with first debt service payment to be made in FY2023.</t>
        </r>
      </text>
    </comment>
    <comment ref="T94" authorId="0" shapeId="0" xr:uid="{00000000-0006-0000-0400-00000E000000}">
      <text>
        <r>
          <rPr>
            <b/>
            <sz val="9"/>
            <color indexed="81"/>
            <rFont val="Tahoma"/>
            <family val="2"/>
          </rPr>
          <t>Bruce:</t>
        </r>
        <r>
          <rPr>
            <sz val="9"/>
            <color indexed="81"/>
            <rFont val="Tahoma"/>
            <family val="2"/>
          </rPr>
          <t xml:space="preserve">
$17,000 for part time Administrative Assistant's salary and benifits</t>
        </r>
      </text>
    </comment>
    <comment ref="T95" authorId="0" shapeId="0" xr:uid="{00000000-0006-0000-0400-00000F000000}">
      <text>
        <r>
          <rPr>
            <b/>
            <sz val="9"/>
            <color indexed="81"/>
            <rFont val="Tahoma"/>
            <family val="2"/>
          </rPr>
          <t>Bruce:</t>
        </r>
        <r>
          <rPr>
            <sz val="9"/>
            <color indexed="81"/>
            <rFont val="Tahoma"/>
            <family val="2"/>
          </rPr>
          <t xml:space="preserve">
$3,500 Coalition Dues plus $1,500.00 for other committee expenses.</t>
        </r>
      </text>
    </comment>
    <comment ref="P96" authorId="0" shapeId="0" xr:uid="{00000000-0006-0000-0400-000010000000}">
      <text>
        <r>
          <rPr>
            <b/>
            <sz val="9"/>
            <color indexed="81"/>
            <rFont val="Tahoma"/>
            <family val="2"/>
          </rPr>
          <t>Bruce:</t>
        </r>
        <r>
          <rPr>
            <sz val="9"/>
            <color indexed="81"/>
            <rFont val="Tahoma"/>
            <family val="2"/>
          </rPr>
          <t xml:space="preserve">
14/24 of estimated first year debt service payment for middle school track</t>
        </r>
      </text>
    </comment>
    <comment ref="P104" authorId="0" shapeId="0" xr:uid="{00000000-0006-0000-0400-000011000000}">
      <text>
        <r>
          <rPr>
            <b/>
            <sz val="9"/>
            <color indexed="81"/>
            <rFont val="Tahoma"/>
            <family val="2"/>
          </rPr>
          <t>Bruce:</t>
        </r>
        <r>
          <rPr>
            <sz val="9"/>
            <color indexed="81"/>
            <rFont val="Tahoma"/>
            <family val="2"/>
          </rPr>
          <t xml:space="preserve">
Intrest payment on Interst-only bond anticiptaion note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500-000001000000}">
      <text>
        <r>
          <rPr>
            <sz val="9"/>
            <color indexed="81"/>
            <rFont val="Tahoma"/>
            <family val="2"/>
          </rPr>
          <t>See Cell F118 below for details.</t>
        </r>
      </text>
    </comment>
    <comment ref="H7" authorId="0" shapeId="0" xr:uid="{00000000-0006-0000-0500-000002000000}">
      <text>
        <r>
          <rPr>
            <sz val="9"/>
            <color indexed="81"/>
            <rFont val="Tahoma"/>
            <family val="2"/>
          </rPr>
          <t>See Cell J121 below for details.</t>
        </r>
      </text>
    </comment>
    <comment ref="L7" authorId="0" shapeId="0" xr:uid="{00000000-0006-0000-0500-000003000000}">
      <text>
        <r>
          <rPr>
            <sz val="9"/>
            <color indexed="81"/>
            <rFont val="Tahoma"/>
            <family val="2"/>
          </rPr>
          <t>See Cell N118 below for details.</t>
        </r>
      </text>
    </comment>
    <comment ref="P7" authorId="0" shapeId="0" xr:uid="{00000000-0006-0000-0500-000004000000}">
      <text>
        <r>
          <rPr>
            <sz val="9"/>
            <color indexed="81"/>
            <rFont val="Tahoma"/>
            <family val="2"/>
          </rPr>
          <t>See Cell R120 below for details.</t>
        </r>
      </text>
    </comment>
    <comment ref="P13" authorId="0" shapeId="0" xr:uid="{00000000-0006-0000-0500-000005000000}">
      <text>
        <r>
          <rPr>
            <b/>
            <sz val="9"/>
            <color indexed="81"/>
            <rFont val="Tahoma"/>
            <family val="2"/>
          </rPr>
          <t>Bruce:</t>
        </r>
        <r>
          <rPr>
            <sz val="9"/>
            <color indexed="81"/>
            <rFont val="Tahoma"/>
            <family val="2"/>
          </rPr>
          <t xml:space="preserve">
$3,700.00 donation made to Duck Pond Phase II 2022-07 project</t>
        </r>
      </text>
    </comment>
    <comment ref="L18" authorId="0" shapeId="0" xr:uid="{00000000-0006-0000-0500-000006000000}">
      <text>
        <r>
          <rPr>
            <b/>
            <sz val="9"/>
            <color indexed="81"/>
            <rFont val="Tahoma"/>
            <family val="2"/>
          </rPr>
          <t>Bruce:</t>
        </r>
        <r>
          <rPr>
            <sz val="9"/>
            <color indexed="81"/>
            <rFont val="Tahoma"/>
            <family val="2"/>
          </rPr>
          <t xml:space="preserve">
$90,000.00 of $482,890.62 
Surrenden Farm debt service payment to be paid from Open Space Reserve.
$11,510 was already encumbered in FY2020.</t>
        </r>
      </text>
    </comment>
    <comment ref="P18" authorId="0" shapeId="0" xr:uid="{00000000-0006-0000-0500-000007000000}">
      <text>
        <r>
          <rPr>
            <b/>
            <sz val="9"/>
            <color indexed="81"/>
            <rFont val="Tahoma"/>
            <family val="2"/>
          </rPr>
          <t xml:space="preserve">Bruce:
</t>
        </r>
        <r>
          <rPr>
            <sz val="9"/>
            <color indexed="81"/>
            <rFont val="Tahoma"/>
            <family val="2"/>
          </rPr>
          <t>$392,890.62 of $482,890.62 Surrenden Farm debt service payment to be paid from Unallocated Reserve.</t>
        </r>
      </text>
    </comment>
    <comment ref="H20" authorId="0" shapeId="0" xr:uid="{00000000-0006-0000-0500-000008000000}">
      <text>
        <r>
          <rPr>
            <b/>
            <sz val="9"/>
            <color indexed="81"/>
            <rFont val="Tahoma"/>
            <family val="2"/>
          </rPr>
          <t>Bruce:</t>
        </r>
        <r>
          <rPr>
            <sz val="9"/>
            <color indexed="81"/>
            <rFont val="Tahoma"/>
            <family val="2"/>
          </rPr>
          <t xml:space="preserve">
$119,000.00 of $125,000 in addational sprinkler funding for Prescott School Phase III.  $40,510 was already encumbered in FY2020.
</t>
        </r>
      </text>
    </comment>
    <comment ref="T25" authorId="0" shapeId="0" xr:uid="{00000000-0006-0000-0500-000009000000}">
      <text>
        <r>
          <rPr>
            <b/>
            <sz val="9"/>
            <color indexed="81"/>
            <rFont val="Tahoma"/>
            <family val="2"/>
          </rPr>
          <t>Bruce:</t>
        </r>
        <r>
          <rPr>
            <sz val="9"/>
            <color indexed="81"/>
            <rFont val="Tahoma"/>
            <family val="2"/>
          </rPr>
          <t xml:space="preserve">
$2,500 Coalition Dues plus $2,500.00 for other committee expenses.</t>
        </r>
      </text>
    </comment>
    <comment ref="P38" authorId="0" shapeId="0" xr:uid="{00000000-0006-0000-0500-00000A000000}">
      <text>
        <r>
          <rPr>
            <b/>
            <sz val="9"/>
            <color indexed="81"/>
            <rFont val="Tahoma"/>
            <family val="2"/>
          </rPr>
          <t>Bruce:</t>
        </r>
        <r>
          <rPr>
            <sz val="9"/>
            <color indexed="81"/>
            <rFont val="Tahoma"/>
            <family val="2"/>
          </rPr>
          <t xml:space="preserve">
Note that the town paid $0.01 more that was approved at June 2020 TM</t>
        </r>
      </text>
    </comment>
    <comment ref="P42" authorId="0" shapeId="0" xr:uid="{00000000-0006-0000-0500-00000B000000}">
      <text>
        <r>
          <rPr>
            <b/>
            <sz val="9"/>
            <color indexed="81"/>
            <rFont val="Tahoma"/>
            <family val="2"/>
          </rPr>
          <t>Bruce:</t>
        </r>
        <r>
          <rPr>
            <sz val="9"/>
            <color indexed="81"/>
            <rFont val="Tahoma"/>
            <family val="2"/>
          </rPr>
          <t xml:space="preserve">
I took the Town Accountant's number of $18,438.87 and subtracted $5,754.54 as I had booked that amount already in FY2020.</t>
        </r>
      </text>
    </comment>
    <comment ref="T83" authorId="0" shapeId="0" xr:uid="{00000000-0006-0000-0500-00000C000000}">
      <text>
        <r>
          <rPr>
            <b/>
            <sz val="9"/>
            <color indexed="81"/>
            <rFont val="Tahoma"/>
            <family val="2"/>
          </rPr>
          <t>Bruce:</t>
        </r>
        <r>
          <rPr>
            <sz val="9"/>
            <color indexed="81"/>
            <rFont val="Tahoma"/>
            <family val="2"/>
          </rPr>
          <t xml:space="preserve">
$15,200 for part time Administrative Assistant's salary and benifits</t>
        </r>
      </text>
    </comment>
    <comment ref="T84" authorId="0" shapeId="0" xr:uid="{00000000-0006-0000-0500-00000D000000}">
      <text>
        <r>
          <rPr>
            <b/>
            <sz val="9"/>
            <color indexed="81"/>
            <rFont val="Tahoma"/>
            <family val="2"/>
          </rPr>
          <t>Bruce:</t>
        </r>
        <r>
          <rPr>
            <sz val="9"/>
            <color indexed="81"/>
            <rFont val="Tahoma"/>
            <family val="2"/>
          </rPr>
          <t xml:space="preserve">
$2,500 Coalition Dues plus $2,500.00 for other committee expenses.</t>
        </r>
      </text>
    </comment>
    <comment ref="L85" authorId="0" shapeId="0" xr:uid="{00000000-0006-0000-0500-00000E000000}">
      <text>
        <r>
          <rPr>
            <b/>
            <sz val="9"/>
            <color indexed="81"/>
            <rFont val="Tahoma"/>
            <family val="2"/>
          </rPr>
          <t>Bruce:</t>
        </r>
        <r>
          <rPr>
            <sz val="9"/>
            <color indexed="81"/>
            <rFont val="Tahoma"/>
            <family val="2"/>
          </rPr>
          <t xml:space="preserve">
$145,000.00 of $204,150.00 
Surrenden Farm debt service payment to be paid from Open Space Reserve.
$41,510 was already encumbered in FY2021.</t>
        </r>
      </text>
    </comment>
    <comment ref="P85" authorId="0" shapeId="0" xr:uid="{00000000-0006-0000-0500-00000F000000}">
      <text>
        <r>
          <rPr>
            <b/>
            <sz val="9"/>
            <color indexed="81"/>
            <rFont val="Tahoma"/>
            <family val="2"/>
          </rPr>
          <t xml:space="preserve">Bruce:
</t>
        </r>
        <r>
          <rPr>
            <sz val="9"/>
            <color indexed="81"/>
            <rFont val="Tahoma"/>
            <family val="2"/>
          </rPr>
          <t>$59,150.00 of $204,150.00 Surrenden Farm debt service payment to be paid from Unallocated Reserve.</t>
        </r>
      </text>
    </comment>
    <comment ref="P93" authorId="0" shapeId="0" xr:uid="{00000000-0006-0000-0500-000010000000}">
      <text>
        <r>
          <rPr>
            <b/>
            <sz val="9"/>
            <color indexed="81"/>
            <rFont val="Tahoma"/>
            <family val="2"/>
          </rPr>
          <t>Bruce:</t>
        </r>
        <r>
          <rPr>
            <sz val="9"/>
            <color indexed="81"/>
            <rFont val="Tahoma"/>
            <family val="2"/>
          </rPr>
          <t xml:space="preserve">
Town meeting authorizes borrowing of $50,000.00 to be repaid over 5 years with first debt service payment to be made in FY2023.</t>
        </r>
      </text>
    </comment>
    <comment ref="P97" authorId="0" shapeId="0" xr:uid="{00000000-0006-0000-0500-000011000000}">
      <text>
        <r>
          <rPr>
            <b/>
            <sz val="9"/>
            <color indexed="81"/>
            <rFont val="Tahoma"/>
            <family val="2"/>
          </rPr>
          <t>Bruce:</t>
        </r>
        <r>
          <rPr>
            <sz val="9"/>
            <color indexed="81"/>
            <rFont val="Tahoma"/>
            <family val="2"/>
          </rPr>
          <t xml:space="preserve">
Town meeting authorizes borrowing of $1,405,374.00 to be repaid over 5 years with first debt service payment to be made in FY2023.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600-000001000000}">
      <text>
        <r>
          <rPr>
            <sz val="9"/>
            <color indexed="81"/>
            <rFont val="Tahoma"/>
            <family val="2"/>
          </rPr>
          <t>See Cell F96 below for details.</t>
        </r>
      </text>
    </comment>
    <comment ref="H7" authorId="0" shapeId="0" xr:uid="{00000000-0006-0000-0600-000002000000}">
      <text>
        <r>
          <rPr>
            <sz val="9"/>
            <color indexed="81"/>
            <rFont val="Tahoma"/>
            <family val="2"/>
          </rPr>
          <t>See Cell J98 below for details.</t>
        </r>
      </text>
    </comment>
    <comment ref="L7" authorId="0" shapeId="0" xr:uid="{00000000-0006-0000-0600-000003000000}">
      <text>
        <r>
          <rPr>
            <sz val="9"/>
            <color indexed="81"/>
            <rFont val="Tahoma"/>
            <family val="2"/>
          </rPr>
          <t>See Cell N98 below for details.</t>
        </r>
      </text>
    </comment>
    <comment ref="P7" authorId="0" shapeId="0" xr:uid="{00000000-0006-0000-0600-000004000000}">
      <text>
        <r>
          <rPr>
            <sz val="9"/>
            <color indexed="81"/>
            <rFont val="Tahoma"/>
            <family val="2"/>
          </rPr>
          <t>See Cell R100 below for details.</t>
        </r>
      </text>
    </comment>
    <comment ref="T19" authorId="0" shapeId="0" xr:uid="{00000000-0006-0000-0600-000005000000}">
      <text>
        <r>
          <rPr>
            <b/>
            <sz val="9"/>
            <color indexed="81"/>
            <rFont val="Tahoma"/>
            <family val="2"/>
          </rPr>
          <t>Bruce:</t>
        </r>
        <r>
          <rPr>
            <sz val="9"/>
            <color indexed="81"/>
            <rFont val="Tahoma"/>
            <family val="2"/>
          </rPr>
          <t xml:space="preserve">
$2,500 Coalition Dues plus $2,500.00 for other committee expenses.</t>
        </r>
      </text>
    </comment>
    <comment ref="L20" authorId="0" shapeId="0" xr:uid="{00000000-0006-0000-0600-000006000000}">
      <text>
        <r>
          <rPr>
            <b/>
            <sz val="9"/>
            <color indexed="81"/>
            <rFont val="Tahoma"/>
            <family val="2"/>
          </rPr>
          <t>Bruce:</t>
        </r>
        <r>
          <rPr>
            <sz val="9"/>
            <color indexed="81"/>
            <rFont val="Tahoma"/>
            <family val="2"/>
          </rPr>
          <t xml:space="preserve">
$90,000.00 of $481,659.38 
Surrenden Farm debt service payment to be paid from Open Space Reserve.  $29,963.00 was previously encumbered in FY2019.</t>
        </r>
      </text>
    </comment>
    <comment ref="P20" authorId="0" shapeId="0" xr:uid="{00000000-0006-0000-0600-000007000000}">
      <text>
        <r>
          <rPr>
            <b/>
            <sz val="9"/>
            <color indexed="81"/>
            <rFont val="Tahoma"/>
            <family val="2"/>
          </rPr>
          <t xml:space="preserve">Bruce:
</t>
        </r>
        <r>
          <rPr>
            <sz val="9"/>
            <color indexed="81"/>
            <rFont val="Tahoma"/>
            <family val="2"/>
          </rPr>
          <t>$381,659.38 of $481,659.38 Surrenden Farm debt service payment to be paid from Unallocated Reserve</t>
        </r>
      </text>
    </comment>
    <comment ref="P23" authorId="0" shapeId="0" xr:uid="{00000000-0006-0000-0600-000008000000}">
      <text>
        <r>
          <rPr>
            <b/>
            <sz val="9"/>
            <color indexed="81"/>
            <rFont val="Tahoma"/>
            <family val="2"/>
          </rPr>
          <t>Bruce:</t>
        </r>
        <r>
          <rPr>
            <sz val="9"/>
            <color indexed="81"/>
            <rFont val="Tahoma"/>
            <family val="2"/>
          </rPr>
          <t xml:space="preserve">
$266,857.38 of $300,561.00 Library Roof Restoration was previously encumbered in FY2019.
</t>
        </r>
      </text>
    </comment>
    <comment ref="P75" authorId="0" shapeId="0" xr:uid="{00000000-0006-0000-0600-000009000000}">
      <text>
        <r>
          <rPr>
            <b/>
            <sz val="9"/>
            <color indexed="81"/>
            <rFont val="Tahoma"/>
            <family val="2"/>
          </rPr>
          <t>Bruce:</t>
        </r>
        <r>
          <rPr>
            <sz val="9"/>
            <color indexed="81"/>
            <rFont val="Tahoma"/>
            <family val="2"/>
          </rPr>
          <t xml:space="preserve">
$482,290.62 debt service payment is due in FY2021.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700-000001000000}">
      <text>
        <r>
          <rPr>
            <sz val="9"/>
            <color indexed="81"/>
            <rFont val="Tahoma"/>
            <family val="2"/>
          </rPr>
          <t>See Cell F94 below for details.</t>
        </r>
      </text>
    </comment>
    <comment ref="H7" authorId="0" shapeId="0" xr:uid="{00000000-0006-0000-0700-000002000000}">
      <text>
        <r>
          <rPr>
            <sz val="9"/>
            <color indexed="81"/>
            <rFont val="Tahoma"/>
            <family val="2"/>
          </rPr>
          <t>See Cell J97 below for details.</t>
        </r>
      </text>
    </comment>
    <comment ref="L7" authorId="0" shapeId="0" xr:uid="{00000000-0006-0000-0700-000003000000}">
      <text>
        <r>
          <rPr>
            <sz val="9"/>
            <color indexed="81"/>
            <rFont val="Tahoma"/>
            <family val="2"/>
          </rPr>
          <t>See Cell N95 below for details.</t>
        </r>
      </text>
    </comment>
    <comment ref="P7" authorId="0" shapeId="0" xr:uid="{00000000-0006-0000-0700-000004000000}">
      <text>
        <r>
          <rPr>
            <sz val="9"/>
            <color indexed="81"/>
            <rFont val="Tahoma"/>
            <family val="2"/>
          </rPr>
          <t>See Cell R98 below for details.</t>
        </r>
      </text>
    </comment>
    <comment ref="T19" authorId="0" shapeId="0" xr:uid="{00000000-0006-0000-0700-000005000000}">
      <text>
        <r>
          <rPr>
            <b/>
            <sz val="9"/>
            <color indexed="81"/>
            <rFont val="Tahoma"/>
            <family val="2"/>
          </rPr>
          <t>Bruce:</t>
        </r>
        <r>
          <rPr>
            <sz val="9"/>
            <color indexed="81"/>
            <rFont val="Tahoma"/>
            <family val="2"/>
          </rPr>
          <t xml:space="preserve">
$2,500 Coalition Dues plus $2,500.00 for other committee expenses.</t>
        </r>
      </text>
    </comment>
    <comment ref="L20" authorId="0" shapeId="0" xr:uid="{00000000-0006-0000-0700-000006000000}">
      <text>
        <r>
          <rPr>
            <b/>
            <sz val="9"/>
            <color indexed="81"/>
            <rFont val="Tahoma"/>
            <family val="2"/>
          </rPr>
          <t>Bruce:</t>
        </r>
        <r>
          <rPr>
            <sz val="9"/>
            <color indexed="81"/>
            <rFont val="Tahoma"/>
            <family val="2"/>
          </rPr>
          <t xml:space="preserve">
$60,000.00 of $479,603.12 
Surrenden Farm debt service payment to be paid from Open Space Reserve</t>
        </r>
      </text>
    </comment>
    <comment ref="P20" authorId="0" shapeId="0" xr:uid="{00000000-0006-0000-0700-000007000000}">
      <text>
        <r>
          <rPr>
            <b/>
            <sz val="9"/>
            <color indexed="81"/>
            <rFont val="Tahoma"/>
            <family val="2"/>
          </rPr>
          <t xml:space="preserve">Bruce:
</t>
        </r>
        <r>
          <rPr>
            <sz val="9"/>
            <color indexed="81"/>
            <rFont val="Tahoma"/>
            <family val="2"/>
          </rPr>
          <t>$419,603.12 of $479,603.12 Surrenden Farm debt service payment to be paid from Unallocated Reserve
minus $163,333.12 already encumbered.</t>
        </r>
      </text>
    </comment>
    <comment ref="H22" authorId="0" shapeId="0" xr:uid="{00000000-0006-0000-0700-000008000000}">
      <text>
        <r>
          <rPr>
            <b/>
            <sz val="9"/>
            <color indexed="81"/>
            <rFont val="Tahoma"/>
            <family val="2"/>
          </rPr>
          <t>Bruce:</t>
        </r>
        <r>
          <rPr>
            <sz val="9"/>
            <color indexed="81"/>
            <rFont val="Tahoma"/>
            <family val="2"/>
          </rPr>
          <t xml:space="preserve">
$74,200.00 of $130,000.00 was previously encumbered</t>
        </r>
      </text>
    </comment>
    <comment ref="L24" authorId="0" shapeId="0" xr:uid="{00000000-0006-0000-0700-000009000000}">
      <text>
        <r>
          <rPr>
            <b/>
            <sz val="9"/>
            <color indexed="81"/>
            <rFont val="Tahoma"/>
            <family val="2"/>
          </rPr>
          <t>Bruce:</t>
        </r>
        <r>
          <rPr>
            <sz val="9"/>
            <color indexed="81"/>
            <rFont val="Tahoma"/>
            <family val="2"/>
          </rPr>
          <t xml:space="preserve">
$16,200.00 of $30,000.00 was previously encumbered</t>
        </r>
      </text>
    </comment>
    <comment ref="P40" authorId="0" shapeId="0" xr:uid="{00000000-0006-0000-0700-00000A000000}">
      <text>
        <r>
          <rPr>
            <b/>
            <sz val="9"/>
            <color indexed="81"/>
            <rFont val="Tahoma"/>
            <family val="2"/>
          </rPr>
          <t>Bruce:</t>
        </r>
        <r>
          <rPr>
            <sz val="9"/>
            <color indexed="81"/>
            <rFont val="Tahoma"/>
            <family val="2"/>
          </rPr>
          <t xml:space="preserve">
Added back $4,596.53 from Patricia's number as I took the $4,596.53 out in FY2918.</t>
        </r>
      </text>
    </comment>
    <comment ref="T70" authorId="0" shapeId="0" xr:uid="{00000000-0006-0000-0700-00000B000000}">
      <text>
        <r>
          <rPr>
            <b/>
            <sz val="9"/>
            <color indexed="81"/>
            <rFont val="Tahoma"/>
            <family val="2"/>
          </rPr>
          <t>Bruce:</t>
        </r>
        <r>
          <rPr>
            <sz val="9"/>
            <color indexed="81"/>
            <rFont val="Tahoma"/>
            <family val="2"/>
          </rPr>
          <t xml:space="preserve">
$2,500 Coalition Dues plus $2,500.00 for other committee expenses.</t>
        </r>
      </text>
    </comment>
    <comment ref="L71" authorId="0" shapeId="0" xr:uid="{00000000-0006-0000-0700-00000C000000}">
      <text>
        <r>
          <rPr>
            <b/>
            <sz val="9"/>
            <color indexed="81"/>
            <rFont val="Tahoma"/>
            <family val="2"/>
          </rPr>
          <t>Bruce:</t>
        </r>
        <r>
          <rPr>
            <sz val="9"/>
            <color indexed="81"/>
            <rFont val="Tahoma"/>
            <family val="2"/>
          </rPr>
          <t xml:space="preserve">
$100,000.00 of $481,659.38 
Surrenden Farm debt service payment to be paid from Open Space Reserve</t>
        </r>
      </text>
    </comment>
    <comment ref="P71" authorId="0" shapeId="0" xr:uid="{00000000-0006-0000-0700-00000D000000}">
      <text>
        <r>
          <rPr>
            <b/>
            <sz val="9"/>
            <color indexed="81"/>
            <rFont val="Tahoma"/>
            <family val="2"/>
          </rPr>
          <t xml:space="preserve">Bruce:
</t>
        </r>
        <r>
          <rPr>
            <sz val="9"/>
            <color indexed="81"/>
            <rFont val="Tahoma"/>
            <family val="2"/>
          </rPr>
          <t>$381,659.38 of $481,659.38 Surrenden Farm debt service payment to be paid from Unallocated Reserve</t>
        </r>
      </text>
    </comment>
  </commentList>
</comments>
</file>

<file path=xl/sharedStrings.xml><?xml version="1.0" encoding="utf-8"?>
<sst xmlns="http://schemas.openxmlformats.org/spreadsheetml/2006/main" count="3569" uniqueCount="919">
  <si>
    <t>Total</t>
  </si>
  <si>
    <t xml:space="preserve">Field of Dreams </t>
  </si>
  <si>
    <t>Open Space Reserve</t>
  </si>
  <si>
    <t>Community Housing Reserve</t>
  </si>
  <si>
    <t>Historic Reserve</t>
  </si>
  <si>
    <t xml:space="preserve">Liens redeemed </t>
  </si>
  <si>
    <t xml:space="preserve">State match - 15-Oct-09 </t>
  </si>
  <si>
    <t xml:space="preserve">Wages </t>
  </si>
  <si>
    <t xml:space="preserve">Expenses </t>
  </si>
  <si>
    <t xml:space="preserve">Archeological Survey </t>
  </si>
  <si>
    <t xml:space="preserve">Project Closeouts </t>
  </si>
  <si>
    <t xml:space="preserve">Revenue </t>
  </si>
  <si>
    <t xml:space="preserve">Cemetery Footstones </t>
  </si>
  <si>
    <t>Unallocated Reserve</t>
  </si>
  <si>
    <t>Analysis of Groton's FY2010 Form CP-2 by Transaction</t>
  </si>
  <si>
    <t xml:space="preserve">Interest earned FY2010 </t>
  </si>
  <si>
    <t>2005-09</t>
  </si>
  <si>
    <t>2006-01</t>
  </si>
  <si>
    <t>2006-11</t>
  </si>
  <si>
    <t>2007-13</t>
  </si>
  <si>
    <t>2010-01</t>
  </si>
  <si>
    <t>2010-03</t>
  </si>
  <si>
    <t>2010-04</t>
  </si>
  <si>
    <t>2010-05</t>
  </si>
  <si>
    <t>2011-03</t>
  </si>
  <si>
    <t>2011-04</t>
  </si>
  <si>
    <t xml:space="preserve">State match - 15-Oct-10 </t>
  </si>
  <si>
    <t xml:space="preserve">Millstone Fields </t>
  </si>
  <si>
    <t xml:space="preserve">Total revenue </t>
  </si>
  <si>
    <t xml:space="preserve">Balance after FY11 Adjmts </t>
  </si>
  <si>
    <t xml:space="preserve">Opening bal  - 1-Jul-2010 </t>
  </si>
  <si>
    <t xml:space="preserve">Total expenses </t>
  </si>
  <si>
    <t xml:space="preserve">Total closeouts </t>
  </si>
  <si>
    <t xml:space="preserve">Total FY11 Adjustments </t>
  </si>
  <si>
    <t xml:space="preserve">Opening Bal - 1-Jul-2009 </t>
  </si>
  <si>
    <t xml:space="preserve">FY10 articles (May '09 TM) </t>
  </si>
  <si>
    <t xml:space="preserve">Total May '09 TM Articles </t>
  </si>
  <si>
    <t xml:space="preserve">Total May '10 TM Articles </t>
  </si>
  <si>
    <t xml:space="preserve">Total Oct '10 TM Articles </t>
  </si>
  <si>
    <t xml:space="preserve">Total project closeouts </t>
  </si>
  <si>
    <t>2007-12</t>
  </si>
  <si>
    <t xml:space="preserve">Opening bal  - 1-Jul-2011 </t>
  </si>
  <si>
    <t xml:space="preserve">Total FY12 Adjustments </t>
  </si>
  <si>
    <t xml:space="preserve">Balance after FY12 adjmts </t>
  </si>
  <si>
    <t xml:space="preserve">Balance before FY12 Adjmts </t>
  </si>
  <si>
    <t xml:space="preserve">Balance before FY11 Adjmts </t>
  </si>
  <si>
    <t xml:space="preserve">State match - 15-Oct-11 </t>
  </si>
  <si>
    <t xml:space="preserve">Total May '11 TM Articles </t>
  </si>
  <si>
    <t xml:space="preserve">Balance before FY13 Adj </t>
  </si>
  <si>
    <t xml:space="preserve">Interest earned FY2012 </t>
  </si>
  <si>
    <t xml:space="preserve">Balance after FY13 Adj </t>
  </si>
  <si>
    <t xml:space="preserve">FY2011 revenue forecast </t>
  </si>
  <si>
    <t xml:space="preserve">CPC operating expenses </t>
  </si>
  <si>
    <t xml:space="preserve">FY2012 revenue forecast </t>
  </si>
  <si>
    <t xml:space="preserve">One Year Outlook </t>
  </si>
  <si>
    <t xml:space="preserve">Total FY2011 forecast </t>
  </si>
  <si>
    <t xml:space="preserve">FY11 revenue - expenses </t>
  </si>
  <si>
    <t xml:space="preserve">May 2010 TM Articles </t>
  </si>
  <si>
    <t xml:space="preserve">1) </t>
  </si>
  <si>
    <t>In FY2011 the Open Space Reserve revenue will be $52,000.00 and the expenses will be $75,000.00 resulting in a</t>
  </si>
  <si>
    <t xml:space="preserve">2) </t>
  </si>
  <si>
    <t>In FY2011 the Unallocated Reserve revenue will be $364,000.00 and the expenses will be $520,013.00 resulting in a</t>
  </si>
  <si>
    <t xml:space="preserve">a) </t>
  </si>
  <si>
    <t>$26,000.00 for CPC Operating expenses</t>
  </si>
  <si>
    <t xml:space="preserve">b) </t>
  </si>
  <si>
    <t>$75,000.00 for Unkety Brook Phase II</t>
  </si>
  <si>
    <t xml:space="preserve">c) </t>
  </si>
  <si>
    <t>$55,013.00 of the $494,013.00 Surrenden Farm debt service payment</t>
  </si>
  <si>
    <t>that no shortfall occurs in FY2011.  $23,000.00 of the $75,000.00 Surrenden Farm debt service payment will be</t>
  </si>
  <si>
    <t xml:space="preserve">$23,000.00 shortfall so an additional $23,000.00 of Open Space Reserve funds will be encumbered in FY2010 to make sure </t>
  </si>
  <si>
    <t>$156,013.00 shortfall so an additional $156,013.00 of Unallocated Reserve funds will be encumbered in FY2010 to insure</t>
  </si>
  <si>
    <t>that no shortfall occurs in FY2011.  The following items will be encumbered if FY2010.</t>
  </si>
  <si>
    <t>One Year Outlook Conclusions</t>
  </si>
  <si>
    <t xml:space="preserve">FY11 outlook adjustments </t>
  </si>
  <si>
    <t xml:space="preserve">FY12 outlook adjustments </t>
  </si>
  <si>
    <t xml:space="preserve">May 2011 TM Articles </t>
  </si>
  <si>
    <t xml:space="preserve">FY12 revenue - expenses </t>
  </si>
  <si>
    <t xml:space="preserve">CPC Operating expenses </t>
  </si>
  <si>
    <t xml:space="preserve">Document Preservation #3 </t>
  </si>
  <si>
    <t xml:space="preserve">CPC operating expense </t>
  </si>
  <si>
    <t xml:space="preserve">FY10 Surrenden Farm debt </t>
  </si>
  <si>
    <t xml:space="preserve">FY11 Surrenden Farm debt </t>
  </si>
  <si>
    <t xml:space="preserve">FY12 Surrenden Farm debt </t>
  </si>
  <si>
    <t xml:space="preserve">Total May 2011 TM articles </t>
  </si>
  <si>
    <t xml:space="preserve">Unkety Brook Well Phase I </t>
  </si>
  <si>
    <t xml:space="preserve">FY2011 state match </t>
  </si>
  <si>
    <t xml:space="preserve">CPC wages and op expense </t>
  </si>
  <si>
    <t xml:space="preserve">CPC wage and op expense </t>
  </si>
  <si>
    <t xml:space="preserve">CPC wage &amp; op expense </t>
  </si>
  <si>
    <t>Number</t>
  </si>
  <si>
    <t>2006-02</t>
  </si>
  <si>
    <t>2006-03</t>
  </si>
  <si>
    <t>2006-09</t>
  </si>
  <si>
    <t>2007-09</t>
  </si>
  <si>
    <t>2010-02</t>
  </si>
  <si>
    <t>2010-06</t>
  </si>
  <si>
    <t>2010-08</t>
  </si>
  <si>
    <t xml:space="preserve">Communitywide Ag Survey </t>
  </si>
  <si>
    <t>2011-05</t>
  </si>
  <si>
    <t xml:space="preserve">FY12 articles (May '11 TM) </t>
  </si>
  <si>
    <t xml:space="preserve">CPC wages and op expense  </t>
  </si>
  <si>
    <t xml:space="preserve">FY2013 revenue forecast </t>
  </si>
  <si>
    <t xml:space="preserve">Total FY2013 forecast </t>
  </si>
  <si>
    <t xml:space="preserve">May 2012 TM Articles </t>
  </si>
  <si>
    <t xml:space="preserve">FY13 Surrenden Farm debt </t>
  </si>
  <si>
    <t xml:space="preserve">Total May 2012 TM articles </t>
  </si>
  <si>
    <t xml:space="preserve">FY13 revenue - expenses </t>
  </si>
  <si>
    <t xml:space="preserve">FY13 outlook adjustments </t>
  </si>
  <si>
    <t>This Microsoft Excel workbook is organized around the following basic principals.</t>
  </si>
  <si>
    <t xml:space="preserve">3) </t>
  </si>
  <si>
    <t>Project</t>
  </si>
  <si>
    <t>Amount</t>
  </si>
  <si>
    <t xml:space="preserve">Groton Grange </t>
  </si>
  <si>
    <t xml:space="preserve">Total encumbrance </t>
  </si>
  <si>
    <t>encumbered in FY2011.</t>
  </si>
  <si>
    <t>Encumbrance Details as of 1 July 2009</t>
  </si>
  <si>
    <t>encumbered in FY2010.</t>
  </si>
  <si>
    <t xml:space="preserve">Interest earned FY2011 </t>
  </si>
  <si>
    <t>Assumptions</t>
  </si>
  <si>
    <t xml:space="preserve">4) </t>
  </si>
  <si>
    <t xml:space="preserve">5) </t>
  </si>
  <si>
    <t xml:space="preserve">6) </t>
  </si>
  <si>
    <t>CPC Operating Expense Account</t>
  </si>
  <si>
    <t xml:space="preserve">FY11 articles (May '10 TM) </t>
  </si>
  <si>
    <t xml:space="preserve">FY11 articles (Oct '10 TM) </t>
  </si>
  <si>
    <t xml:space="preserve">7) </t>
  </si>
  <si>
    <t xml:space="preserve">8) </t>
  </si>
  <si>
    <t xml:space="preserve">FY2013 interest </t>
  </si>
  <si>
    <t>Analysis of Groton's FY2011 Form CP-2 by Transaction</t>
  </si>
  <si>
    <t>Encumbrance Details as of 30 June 2010  (Encumbrances brought forward from FY2010)</t>
  </si>
  <si>
    <t>Encumbrance Details as of 30 June 2011  (Encumbrances brought forward from FY2011)</t>
  </si>
  <si>
    <t xml:space="preserve">Total FY12 revenue forecast </t>
  </si>
  <si>
    <t>In FY2012 the Open Space Reserve revenue will be $68,500.00 and the expenses will be $90,000.00 resulting in a</t>
  </si>
  <si>
    <t xml:space="preserve">$21,500.00 shortfall so an additional $21,500.00 of Open Space Reserve funds will be encumbered in FY2011 to make sure </t>
  </si>
  <si>
    <t>that no shortfall occurs in FY2012.  $21,500.00 of the $90,000.00 Surrenden Farm debt service payment will be</t>
  </si>
  <si>
    <t xml:space="preserve">State match - 15-Oct-12 </t>
  </si>
  <si>
    <t xml:space="preserve">Housing Trust Fund </t>
  </si>
  <si>
    <t xml:space="preserve">Prescott School Reuse </t>
  </si>
  <si>
    <t xml:space="preserve">Boutwell House </t>
  </si>
  <si>
    <t xml:space="preserve">Town Clerk's Documents </t>
  </si>
  <si>
    <t>In FY2012 the Community Housing Reserve revenue will be $68,500.00 and the expenses will be $412,000.00 resulting in a</t>
  </si>
  <si>
    <t>$343,500.00 shortfall so an additional $343,500.00 of Community Housing Reserve funds will be encumbered in FY2011 to</t>
  </si>
  <si>
    <t>make sure that no shortfall occurs in FY2012.  $343,500.00 of the $412,000.00 Housing Trust Fund payment will be</t>
  </si>
  <si>
    <t>shortfall so an additional $140,525.00 of Historic Reserve funds will be encumbered in FY2011 to make sure that no</t>
  </si>
  <si>
    <t>shortfall occurs in FY2012.  $140,525.00 of the $159,025.00 Boutwell Historic payment will be encumbered in FY2011.</t>
  </si>
  <si>
    <t>In FY2012 the Historic Reserve revenue will be $68,500.00 and the expenses will be $209,025.00 resulting in a $140,525.00</t>
  </si>
  <si>
    <t xml:space="preserve">Opening bal  - 1-Jul-2012 </t>
  </si>
  <si>
    <t xml:space="preserve">Interest earned FY2013 </t>
  </si>
  <si>
    <t xml:space="preserve">Total May '12 TM Articles </t>
  </si>
  <si>
    <t xml:space="preserve">FY14 outlook adjustments </t>
  </si>
  <si>
    <t xml:space="preserve">Total FY13 Adjustments </t>
  </si>
  <si>
    <t xml:space="preserve">Total FY14 Adjustments </t>
  </si>
  <si>
    <t xml:space="preserve">FY2014 revenue forecast </t>
  </si>
  <si>
    <t xml:space="preserve">FY2014 interest </t>
  </si>
  <si>
    <t xml:space="preserve">Total FY2014 forecast </t>
  </si>
  <si>
    <t xml:space="preserve">May 2013 TM Articles </t>
  </si>
  <si>
    <t xml:space="preserve">FY14 revenue - expenses </t>
  </si>
  <si>
    <t>Encumbrance Details as of 30 June 2012  (Encumbrances brought forward from FY2012)</t>
  </si>
  <si>
    <t xml:space="preserve">FY13 articles (May '12 TM) </t>
  </si>
  <si>
    <t>2012-01</t>
  </si>
  <si>
    <t>2012-04</t>
  </si>
  <si>
    <t>2012-05</t>
  </si>
  <si>
    <t>2012-08</t>
  </si>
  <si>
    <t xml:space="preserve">Total May 2013 TM articles </t>
  </si>
  <si>
    <t xml:space="preserve">Total May 2010 TM articles </t>
  </si>
  <si>
    <t>Reserved</t>
  </si>
  <si>
    <t>Unreserved</t>
  </si>
  <si>
    <t>Available</t>
  </si>
  <si>
    <t>FY2012.</t>
  </si>
  <si>
    <t xml:space="preserve">CPC wages </t>
  </si>
  <si>
    <t>shortfall so an additional $5,440.00 of Open Space Reserve funds will be encumbered in FY2012 to make sure that no</t>
  </si>
  <si>
    <t>In FY2013 the Open Space Reserve revenue will be $64,560.00 and the expenses will be $70,000.00 resulting in a $5,440.00</t>
  </si>
  <si>
    <t>shortfall occurs in FY2013.  $5,440.00 of the $70,000.00 Surrenden Farm debt service payment will be encumbered in</t>
  </si>
  <si>
    <t>In FY2013 the Unallocated Reserve revenue will be $451,920.00 and the expenses will be $525,167.50 resulting in a</t>
  </si>
  <si>
    <t>$73,247.50 shortfall so an additional $73,247.50 of Open Space Reserve funds will be encumbered in FY2012 to make sure</t>
  </si>
  <si>
    <t>that no shortfall occurs in FY2013.  $73,247.50 of the $417,887.50 Surrenden Farm debt service payment will be</t>
  </si>
  <si>
    <t>encumbered in FY2012.</t>
  </si>
  <si>
    <t>FY13 state match revenue forecast is $115,500 (just round one at 22%)</t>
  </si>
  <si>
    <t>FY13 interest earned forecast is $5,100</t>
  </si>
  <si>
    <t xml:space="preserve">CPC operating expense  </t>
  </si>
  <si>
    <t xml:space="preserve">Opening bal  - 1-Jul-2013 </t>
  </si>
  <si>
    <t xml:space="preserve">Interest earned FY2014 </t>
  </si>
  <si>
    <t xml:space="preserve">FY14 articles (May '13 TM) </t>
  </si>
  <si>
    <t xml:space="preserve">Total May '13 TM Articles </t>
  </si>
  <si>
    <t xml:space="preserve">Balance before FY15 Adj </t>
  </si>
  <si>
    <t xml:space="preserve">FY15 outlook adjustments </t>
  </si>
  <si>
    <t xml:space="preserve">FY14 Surrenden Farm debt </t>
  </si>
  <si>
    <t xml:space="preserve">Total FY15 Adjustments </t>
  </si>
  <si>
    <t xml:space="preserve">Balance after FY15 Adj </t>
  </si>
  <si>
    <t xml:space="preserve">FY2015 revenue forecast </t>
  </si>
  <si>
    <t xml:space="preserve">FY2015 interest </t>
  </si>
  <si>
    <t xml:space="preserve">Total FY2015 forecast </t>
  </si>
  <si>
    <t xml:space="preserve">May 2014 TM Articles </t>
  </si>
  <si>
    <t xml:space="preserve">Total May 2014 TM articles </t>
  </si>
  <si>
    <t xml:space="preserve">FY15 revenue - expenses </t>
  </si>
  <si>
    <t xml:space="preserve">FY15 Surrenden Farm debt </t>
  </si>
  <si>
    <t>Analysis of Groton's FY2012 Form CP-2 by Transaction</t>
  </si>
  <si>
    <t>2013-01</t>
  </si>
  <si>
    <t>All CPA revenues received increase the balance in the Unreserved accounts but do not change the balance in the Reserved accounts.</t>
  </si>
  <si>
    <t>Town meeting votes that approve projects result in transfers from Unreserved accounts to the associated Reserved accounts.</t>
  </si>
  <si>
    <t>Since some project items already carry encumbrances created during the previous fiscal year, only the balance of any new encumbrance needs to be recorded for new projects approved at Town Meeting.</t>
  </si>
  <si>
    <t>Town meeting votes to fund the CPC Operating Expense account result in transfers from the Unreserved Unallocated Reserve account to the Reserved CPC Operating Expense account.</t>
  </si>
  <si>
    <t>At the end of the fiscal year any balance left in the Reserved CPC Operating Expense account is transferred back to the Unreserved Unallocated Reserve account.</t>
  </si>
  <si>
    <t xml:space="preserve">Note: </t>
  </si>
  <si>
    <t>As noted in No. 3 above, be sure that when you enter Town Meeting project approvals you only transfer the net reserved amount between the Unreserved Account and the related Reserved Account.</t>
  </si>
  <si>
    <t>If you have already reserved some of the project money at the end of the previous year you should only transfer the remaining balance. Otherwise, you will reserve too much money.</t>
  </si>
  <si>
    <t xml:space="preserve">FY13 articles (Oct '12 TM) </t>
  </si>
  <si>
    <t xml:space="preserve">Balance after FY2014 Adj </t>
  </si>
  <si>
    <t xml:space="preserve">Balance before FY2014 Adj </t>
  </si>
  <si>
    <t>Encumbrance Details as of 30 June 2013  (Encumbrances brought forward from FY2013)</t>
  </si>
  <si>
    <t>All outstanding projects will be completed with zero balance remaining.</t>
  </si>
  <si>
    <t xml:space="preserve">FY13 articles (Jan '13 STM) </t>
  </si>
  <si>
    <t xml:space="preserve">Total Jan '13 STM Articles </t>
  </si>
  <si>
    <t xml:space="preserve">Fitch's Bridge Replacement </t>
  </si>
  <si>
    <t>2013-04</t>
  </si>
  <si>
    <t>FY2014 state match revenue (expected on 15 Oct 2013) will be $136,500.</t>
  </si>
  <si>
    <t xml:space="preserve">Housing Auth Generator </t>
  </si>
  <si>
    <t xml:space="preserve">Ledge Rock Fields </t>
  </si>
  <si>
    <t xml:space="preserve">State match - 15-Nov-13 </t>
  </si>
  <si>
    <t>FY2014 interest earned will be $1,000.</t>
  </si>
  <si>
    <t>All outstanding projects were completed in FY2013 with zero balance remaining except for Fitch's Bridge Replacement.</t>
  </si>
  <si>
    <t>In FY2014 the Unallocated Reserve revenue will be $463,750.00 and the expenses will be $763,337.50 resulting in a</t>
  </si>
  <si>
    <t>$299,587.50 shortfall so an additional $299,587.50 of Unallocated Reserve funds will be encumbered in FY2013 to make</t>
  </si>
  <si>
    <t>sure that no shortfall occurs in FY2014.  $299,587.50 of the $309,000.00 Ledge Rock Fields will be encumbered in FY2013.</t>
  </si>
  <si>
    <t xml:space="preserve">Opening bal  - 1-Jul-2014 </t>
  </si>
  <si>
    <t xml:space="preserve">State match - 15-Nov-14 </t>
  </si>
  <si>
    <t xml:space="preserve">Interest earned FY2015 </t>
  </si>
  <si>
    <t xml:space="preserve">FY15 articles (May '14 TM) </t>
  </si>
  <si>
    <t xml:space="preserve">Total May '14 TM Articles </t>
  </si>
  <si>
    <t xml:space="preserve">Balance before FY16 Adj </t>
  </si>
  <si>
    <t xml:space="preserve">FY16 outlook adjustments </t>
  </si>
  <si>
    <t xml:space="preserve">Total FY16 Adjustments </t>
  </si>
  <si>
    <t xml:space="preserve">Balance after FY16 Adj </t>
  </si>
  <si>
    <t xml:space="preserve">FY2016 revenue forecast </t>
  </si>
  <si>
    <t xml:space="preserve">FY2016 interest </t>
  </si>
  <si>
    <t xml:space="preserve">Total FY2016 forecast </t>
  </si>
  <si>
    <t xml:space="preserve">May 2015 TM Articles </t>
  </si>
  <si>
    <t xml:space="preserve">Total May 2015 TM articles </t>
  </si>
  <si>
    <t xml:space="preserve">FY16 revenue - expenses </t>
  </si>
  <si>
    <t>No encumbrances will need to be made in FY2015 to insure no shortfall in FY2016.</t>
  </si>
  <si>
    <t xml:space="preserve">FY16 Surrenden Farm debt </t>
  </si>
  <si>
    <t>FY2016 interest earned will be $1,000.</t>
  </si>
  <si>
    <t>FY2016 state match revenue (expected on 15 Nov 2015) will be $126,500.</t>
  </si>
  <si>
    <t>Ledge Rock Fields closeout recorded in FY2014 even though actual closeout was in August 2015</t>
  </si>
  <si>
    <t xml:space="preserve">Adjustment to match TA </t>
  </si>
  <si>
    <t>FY2015 interest earned will be $0.00</t>
  </si>
  <si>
    <t>FY2015 state match revenue (expected on 15 Nov 2014) will be $126,500 ($550,000 x 0.23)</t>
  </si>
  <si>
    <t>An encumbrance of $31,727.00 will need to be made to the $90,000 Surrenden Farm Debt Service Payment in FY2014 to insure no shortfall occurs in the Open Space Reserve account in FY2015.</t>
  </si>
  <si>
    <t>$87,015.00 of the $109,590.00 Sargisson Beach Restoration money will be used for the needed encumbrance.</t>
  </si>
  <si>
    <t xml:space="preserve">Conservation Fund FY15 </t>
  </si>
  <si>
    <t>Encumbrance forecast details as of 22 July 2014  (Encumbrances brought forward from FY2014)</t>
  </si>
  <si>
    <t>Notes</t>
  </si>
  <si>
    <t>This is a one-time transfer of $3,181.30 from Unallocated Reserve Reserved to Unallocated Reserve Unreserved.  It is in anticipation of a final invoice</t>
  </si>
  <si>
    <t>Although Boutwell House shows a closeout of $3,181.30 which leaves a balance of $716.23 in the Unallocated Reserve Reserved bin, this not really a closeout entry.</t>
  </si>
  <si>
    <t xml:space="preserve">Opening bal  - 1-Jul-2015 </t>
  </si>
  <si>
    <t xml:space="preserve">State match - 15-Nov-15 </t>
  </si>
  <si>
    <t xml:space="preserve">Interest earned FY2016 </t>
  </si>
  <si>
    <t xml:space="preserve">FY16 articles (May '15 TM) </t>
  </si>
  <si>
    <t xml:space="preserve">Total May '15 TM Articles </t>
  </si>
  <si>
    <t xml:space="preserve">Balance before FY17 Adj </t>
  </si>
  <si>
    <t xml:space="preserve">FY17 outlook adjustments </t>
  </si>
  <si>
    <t xml:space="preserve">Total FY17 Adjustments </t>
  </si>
  <si>
    <t xml:space="preserve">Balance after FY17 Adj </t>
  </si>
  <si>
    <t xml:space="preserve">State match - 15-Nov-16 </t>
  </si>
  <si>
    <t xml:space="preserve">FY2017 revenue forecast </t>
  </si>
  <si>
    <t xml:space="preserve">FY2017 interest </t>
  </si>
  <si>
    <t xml:space="preserve">Total FY2017 forecast </t>
  </si>
  <si>
    <t xml:space="preserve">May 2016 TM Articles </t>
  </si>
  <si>
    <t xml:space="preserve">FY17 Surrenden Farm debt </t>
  </si>
  <si>
    <t xml:space="preserve">Total May 2016 TM articles </t>
  </si>
  <si>
    <t xml:space="preserve">FY17 revenue - expenses </t>
  </si>
  <si>
    <t>No encumbrances will need to be made in FY2016 to insure no shortfall in FY2017.</t>
  </si>
  <si>
    <t>FY2017 interest earned will be $1,000.</t>
  </si>
  <si>
    <t>Project and committee expenses are subtracted from relevant Reserved accounts and not from Unreserved accounts.</t>
  </si>
  <si>
    <t xml:space="preserve">FY15 articles (Oct '14 TM) </t>
  </si>
  <si>
    <t xml:space="preserve">Sargisson Beach Phase II </t>
  </si>
  <si>
    <t xml:space="preserve">Sargisson Beach Phase I </t>
  </si>
  <si>
    <t xml:space="preserve">Total Oct '14 TM Articles </t>
  </si>
  <si>
    <t>An encumbrance of $177,638.00 will need to be made to insure no shortfall occurs in the Unallocated  Reserve account in FY2015.  All of the $90,623.00 of the Conservation Fund 2015 transfer and</t>
  </si>
  <si>
    <t>payment of $716.23 but, in reality, close out will not officially occur until the end of FY2015 with $0.00 transfer back to Unallocated Reserve Unreserved.</t>
  </si>
  <si>
    <t xml:space="preserve">Opening bal  - 1-Jul-2016 </t>
  </si>
  <si>
    <t xml:space="preserve">Interest earned FY2017 </t>
  </si>
  <si>
    <t xml:space="preserve">Total May '16 TM Articles </t>
  </si>
  <si>
    <t xml:space="preserve">Balance before FY18 Adj </t>
  </si>
  <si>
    <t xml:space="preserve">FY18 outlook adjustments </t>
  </si>
  <si>
    <t xml:space="preserve">Total FY18 Adjustments </t>
  </si>
  <si>
    <t xml:space="preserve">Balance after FY18 Adj </t>
  </si>
  <si>
    <t xml:space="preserve">FY2018 revenue forecast </t>
  </si>
  <si>
    <t xml:space="preserve">State match - 15-Nov-17 </t>
  </si>
  <si>
    <t xml:space="preserve">FY2018 interest </t>
  </si>
  <si>
    <t xml:space="preserve">Total FY2018 forecast </t>
  </si>
  <si>
    <t xml:space="preserve">May 2017 TM Articles </t>
  </si>
  <si>
    <t xml:space="preserve">FY18 Surrenden Farm debt </t>
  </si>
  <si>
    <t xml:space="preserve">Total May 2017 TM articles </t>
  </si>
  <si>
    <t xml:space="preserve">FY18 revenue - expenses </t>
  </si>
  <si>
    <t>No encumbrances will need to be made in FY2017 to insure no shortfall in FY2018.</t>
  </si>
  <si>
    <t>FY2018 interest earned will be $1,000.</t>
  </si>
  <si>
    <t xml:space="preserve">Basketball II </t>
  </si>
  <si>
    <t xml:space="preserve">Recreational Trail </t>
  </si>
  <si>
    <t xml:space="preserve">First Parish Church </t>
  </si>
  <si>
    <t xml:space="preserve">Driving Range </t>
  </si>
  <si>
    <t>Encumbrance forecast details as of 13 November 2015  (Encumbrances brought forward from FY2015)</t>
  </si>
  <si>
    <t xml:space="preserve">ADA Study </t>
  </si>
  <si>
    <t xml:space="preserve">Housing Coordinator FY15 </t>
  </si>
  <si>
    <t>Encumbrance forecast details as of 17 November 2015  (Encumbrances brought forward from FY2016)</t>
  </si>
  <si>
    <t xml:space="preserve">Track Repair </t>
  </si>
  <si>
    <t xml:space="preserve">Monument Restoration </t>
  </si>
  <si>
    <t xml:space="preserve">FY17 articles (April '16 TM) </t>
  </si>
  <si>
    <t>FY2018 state match revenue (expected on 15 Nov 2017) will be $99,000 or 18% of local surchare revenue</t>
  </si>
  <si>
    <t xml:space="preserve">Opening bal  - 1-Jul-2017 </t>
  </si>
  <si>
    <t xml:space="preserve">Interest earned FY2018 </t>
  </si>
  <si>
    <t xml:space="preserve">FY18 articles (April '17 TM) </t>
  </si>
  <si>
    <t xml:space="preserve">Total May '17 TM Articles </t>
  </si>
  <si>
    <t xml:space="preserve">Balance before FY19 Adj </t>
  </si>
  <si>
    <t xml:space="preserve">Total FY19 Adjustments </t>
  </si>
  <si>
    <t xml:space="preserve">Balance after FY19 Adj </t>
  </si>
  <si>
    <t xml:space="preserve">FY2019 revenue forecast </t>
  </si>
  <si>
    <t xml:space="preserve">State match - 15-Nov-18 </t>
  </si>
  <si>
    <t xml:space="preserve">FY2019 interest </t>
  </si>
  <si>
    <t xml:space="preserve">Total FY2019 forecast </t>
  </si>
  <si>
    <t xml:space="preserve">May 2018 TM Articles </t>
  </si>
  <si>
    <t xml:space="preserve">FY19 Surrenden Farm debt </t>
  </si>
  <si>
    <t xml:space="preserve">Total May 2018 TM articles </t>
  </si>
  <si>
    <t xml:space="preserve">FY19 revenue - expenses </t>
  </si>
  <si>
    <t>Encumbrance forecast details as of 14 November 2016  (Encumbrances brought forward from FY2017)</t>
  </si>
  <si>
    <t xml:space="preserve">FY17 articles (Nov '16 TM) </t>
  </si>
  <si>
    <t xml:space="preserve">Total Nov '16 TM Articles </t>
  </si>
  <si>
    <t xml:space="preserve">First Parish Registration </t>
  </si>
  <si>
    <t xml:space="preserve">Williams Barn Repair </t>
  </si>
  <si>
    <t xml:space="preserve">Milestone Restoration I </t>
  </si>
  <si>
    <t xml:space="preserve">Milestone Restoration II </t>
  </si>
  <si>
    <t xml:space="preserve">Library Entrance </t>
  </si>
  <si>
    <t xml:space="preserve">Library Building </t>
  </si>
  <si>
    <t xml:space="preserve">Interest earned FY2019 </t>
  </si>
  <si>
    <t xml:space="preserve">FY19 articles (April '18 TM) </t>
  </si>
  <si>
    <t xml:space="preserve">Balance before FY20 Adj </t>
  </si>
  <si>
    <t xml:space="preserve">Total FY20 Adjustments </t>
  </si>
  <si>
    <t xml:space="preserve">Balance after FY20 Adj </t>
  </si>
  <si>
    <t xml:space="preserve">FY2020 revenue forecast </t>
  </si>
  <si>
    <t xml:space="preserve">State match - 15-Nov-19 </t>
  </si>
  <si>
    <t xml:space="preserve">FY2020 interest </t>
  </si>
  <si>
    <t xml:space="preserve">Total FY2020 forecast </t>
  </si>
  <si>
    <t xml:space="preserve">May 2019 TM Articles </t>
  </si>
  <si>
    <t xml:space="preserve">FY20 Surrenden Farm debt </t>
  </si>
  <si>
    <t xml:space="preserve">Total May 2019 TM articles </t>
  </si>
  <si>
    <t xml:space="preserve">FY20 revenue - expenses </t>
  </si>
  <si>
    <t xml:space="preserve">FY19 outlook adjustments </t>
  </si>
  <si>
    <t xml:space="preserve">FY20 outlook adjustments </t>
  </si>
  <si>
    <t>All outstanding projects will be completed with zero balance remaining on 30 June 2019.</t>
  </si>
  <si>
    <t xml:space="preserve">Opening bal  - 1-Jul-2018 </t>
  </si>
  <si>
    <t>2017-02</t>
  </si>
  <si>
    <t>2017-07</t>
  </si>
  <si>
    <t>2016-04</t>
  </si>
  <si>
    <t>2017-01</t>
  </si>
  <si>
    <t>2017-03</t>
  </si>
  <si>
    <t>2016-07</t>
  </si>
  <si>
    <t>2016-01</t>
  </si>
  <si>
    <t>FY2017 state match will be $183,341.00</t>
  </si>
  <si>
    <t>2015-04</t>
  </si>
  <si>
    <t>2016-06</t>
  </si>
  <si>
    <t>2016-05</t>
  </si>
  <si>
    <t>2016-03</t>
  </si>
  <si>
    <t>2016-02</t>
  </si>
  <si>
    <t>2015-06</t>
  </si>
  <si>
    <t>2015-07</t>
  </si>
  <si>
    <t>2017-04</t>
  </si>
  <si>
    <t>2018-01</t>
  </si>
  <si>
    <t>2018-02</t>
  </si>
  <si>
    <t>2018-04</t>
  </si>
  <si>
    <t>2018-05</t>
  </si>
  <si>
    <t>2018-07</t>
  </si>
  <si>
    <t>2018-08</t>
  </si>
  <si>
    <t>2018-09</t>
  </si>
  <si>
    <t>2015-05</t>
  </si>
  <si>
    <t>2015-11</t>
  </si>
  <si>
    <t>2015-12</t>
  </si>
  <si>
    <t>2014-03</t>
  </si>
  <si>
    <t>2019-01</t>
  </si>
  <si>
    <t>2019-03</t>
  </si>
  <si>
    <t>2019-04</t>
  </si>
  <si>
    <t xml:space="preserve">Baddacook Pond Yr 3 </t>
  </si>
  <si>
    <t>2019-05</t>
  </si>
  <si>
    <t xml:space="preserve">Duck Pond Restoration </t>
  </si>
  <si>
    <t>2019-08</t>
  </si>
  <si>
    <t xml:space="preserve">Total April '18 TM Articles </t>
  </si>
  <si>
    <t xml:space="preserve">JD Poor Mural Preservation </t>
  </si>
  <si>
    <t xml:space="preserve">Total May '18 TM Articles </t>
  </si>
  <si>
    <t>An encumbrance of $74,200.00 will need to be made to the $130,000 Prescott School Phase III project in FY2018 to insure no shortfall occurs in the Historic Reserve account in FY2019.</t>
  </si>
  <si>
    <t>An encumbrance of $16,200.00 will need to be made to the $30,000 Baddacook Pond Yr 3 Open Space Reserve in FY2018 to insure no shortfall occurs in the Open Space Reserve account in FY2019.</t>
  </si>
  <si>
    <t>An encumbrance of $163,333.12 will need to be made to the $419,603.12 Surrenden Farm debt Unallocated Reserve in FY2018 to insure no shortfall occurs in the Unallocated Reserve account in FY2019.</t>
  </si>
  <si>
    <t xml:space="preserve">Opening bal  - 1-Jul-2019 </t>
  </si>
  <si>
    <t xml:space="preserve">FY20 articles (April '19 TM) </t>
  </si>
  <si>
    <t xml:space="preserve">Total April '19 TM Articles </t>
  </si>
  <si>
    <t xml:space="preserve">Balance before FY21 Adj </t>
  </si>
  <si>
    <t xml:space="preserve">FY21 outlook adjustments </t>
  </si>
  <si>
    <t xml:space="preserve">Total FY21 Adjustments </t>
  </si>
  <si>
    <t xml:space="preserve">Balance after FY21 Adj </t>
  </si>
  <si>
    <t xml:space="preserve">FY2021 revenue forecast </t>
  </si>
  <si>
    <t xml:space="preserve">State match - 15-Nov-20 </t>
  </si>
  <si>
    <t xml:space="preserve">FY2021 interest </t>
  </si>
  <si>
    <t xml:space="preserve">Total FY2021 forecast </t>
  </si>
  <si>
    <t xml:space="preserve">May 2020 TM Articles </t>
  </si>
  <si>
    <t xml:space="preserve">FY21 Surrenden Farm debt </t>
  </si>
  <si>
    <t xml:space="preserve">Total May 2020 TM articles </t>
  </si>
  <si>
    <t xml:space="preserve">FY21 revenue - expenses </t>
  </si>
  <si>
    <t>Encumbrance forecast details as of 10 May 2018  (Encumbrances brought forward from FY2018)</t>
  </si>
  <si>
    <t xml:space="preserve">Gifts received </t>
  </si>
  <si>
    <t xml:space="preserve">Interest earned FY2020 </t>
  </si>
  <si>
    <t xml:space="preserve">Historic Volumes </t>
  </si>
  <si>
    <t xml:space="preserve">Library Roof Restoration </t>
  </si>
  <si>
    <t xml:space="preserve">Fitch's Bridge Wall Repair </t>
  </si>
  <si>
    <t>2020-02</t>
  </si>
  <si>
    <t>2020-03</t>
  </si>
  <si>
    <t>2020-06</t>
  </si>
  <si>
    <t>2020-10</t>
  </si>
  <si>
    <t>2020-12</t>
  </si>
  <si>
    <t>Encumbrance forecast details as of 10 May 2018  (Encumbrances brought forward from FY2019)</t>
  </si>
  <si>
    <t>An encumbrance of $29,963.00 will need to be made to the $100,000.00 Surrenden Farm Debt Service in FY2020 to insure no shortfall occurs in the Open Space Reserve account in FY2020.</t>
  </si>
  <si>
    <t>An encumbrance of $266,857.38 will need to be made to the $300,561.00 Library Roof Restoration project in FY2020 to insure no shortfall occurs in the Unallocated Reserve account in FY2020.</t>
  </si>
  <si>
    <t>FY2020 CPC operating expense includes $2,500 Community Preservation Coalition dues</t>
  </si>
  <si>
    <t>Other FY2020 CPC administrative expenses will be $2,500</t>
  </si>
  <si>
    <t>All outstanding projects will be completed with zero balance remaining on 30 June 2021.</t>
  </si>
  <si>
    <t xml:space="preserve">Opening bal  - 1-Jul-2020 </t>
  </si>
  <si>
    <t xml:space="preserve">Interest earned FY2021 </t>
  </si>
  <si>
    <t xml:space="preserve">Total April '20 TM Articles </t>
  </si>
  <si>
    <t xml:space="preserve">Balance before FY22 Adj </t>
  </si>
  <si>
    <t xml:space="preserve">FY22 outlook adjustments </t>
  </si>
  <si>
    <t xml:space="preserve">Total FY22 Adjustments </t>
  </si>
  <si>
    <t xml:space="preserve">FY2022 revenue forecast </t>
  </si>
  <si>
    <t xml:space="preserve">State match - 15-Nov-21 </t>
  </si>
  <si>
    <t xml:space="preserve">FY2022 interest </t>
  </si>
  <si>
    <t xml:space="preserve">Total FY2022 forecast </t>
  </si>
  <si>
    <t xml:space="preserve">May 2021 TM Articles </t>
  </si>
  <si>
    <t xml:space="preserve">FY22 Surrenden Farm debt </t>
  </si>
  <si>
    <t xml:space="preserve">Total May 2021 TM articles </t>
  </si>
  <si>
    <t xml:space="preserve">FY22 revenue - expenses </t>
  </si>
  <si>
    <t>Encumbrance forecast details as of 22 October 2019  (Encumbrances brought forward from FY2020)</t>
  </si>
  <si>
    <t>An encumbrance of $11,510.00 will need to be made to the $90,000.00 Surrenden Farm debt service in FY2020 to insure no shortfall occurs in the Open Space Reserve account in FY2021.</t>
  </si>
  <si>
    <t xml:space="preserve">Prescott School Phase III </t>
  </si>
  <si>
    <t xml:space="preserve">FY21 articles (June '20 TM) </t>
  </si>
  <si>
    <t xml:space="preserve">FY21 articles (Oct '20 TM) </t>
  </si>
  <si>
    <t xml:space="preserve">Total Oct '20 TM Articles </t>
  </si>
  <si>
    <t>2021-01</t>
  </si>
  <si>
    <t>2021-12</t>
  </si>
  <si>
    <t>An encumbrance of $40,510.00 will need to be made to $119,000.00 Prescott School Phase III to insure no shortfall occurs in the Historic Reserve account in FY2021.</t>
  </si>
  <si>
    <t xml:space="preserve">Balance after FY22 Adj </t>
  </si>
  <si>
    <t xml:space="preserve">Opening bal  - 1-Jul-2021 </t>
  </si>
  <si>
    <t xml:space="preserve">Interest earned FY2022 </t>
  </si>
  <si>
    <t xml:space="preserve">Balance before FY23 Adj </t>
  </si>
  <si>
    <t xml:space="preserve">FY23 outlook adjustments </t>
  </si>
  <si>
    <t xml:space="preserve">Total FY23 Adjustments </t>
  </si>
  <si>
    <t xml:space="preserve">Balance after FY23 Adj </t>
  </si>
  <si>
    <t xml:space="preserve">FY2023 revenue forecast </t>
  </si>
  <si>
    <t xml:space="preserve">State match - 15-Nov-22 </t>
  </si>
  <si>
    <t xml:space="preserve">FY2023 interest </t>
  </si>
  <si>
    <t xml:space="preserve">Total FY2023 forecast </t>
  </si>
  <si>
    <t xml:space="preserve">Total May 2022 TM articles </t>
  </si>
  <si>
    <t xml:space="preserve">FY23 revenue - expenses </t>
  </si>
  <si>
    <t xml:space="preserve">Portrait Restoration </t>
  </si>
  <si>
    <t xml:space="preserve">Library Pocket Doors </t>
  </si>
  <si>
    <t xml:space="preserve">Hazel Grove </t>
  </si>
  <si>
    <t xml:space="preserve">WWI Cannon Restoration </t>
  </si>
  <si>
    <t xml:space="preserve">Rental Assistance </t>
  </si>
  <si>
    <t>2021-02</t>
  </si>
  <si>
    <t>2021-03</t>
  </si>
  <si>
    <t>2021-04</t>
  </si>
  <si>
    <t>2021-06</t>
  </si>
  <si>
    <t>2021-07</t>
  </si>
  <si>
    <t>2021-10</t>
  </si>
  <si>
    <t xml:space="preserve">Lost Lake Restoration </t>
  </si>
  <si>
    <t>2021-14</t>
  </si>
  <si>
    <t xml:space="preserve">Adjustments to match TA </t>
  </si>
  <si>
    <t>2013-03</t>
  </si>
  <si>
    <t>2014-05</t>
  </si>
  <si>
    <t>Analysis of Groton's FY2009 Form CP-2 by Transaction</t>
  </si>
  <si>
    <t xml:space="preserve">Opening Bal - 1-Jul-2008 </t>
  </si>
  <si>
    <t xml:space="preserve">Interest earned FY2009 </t>
  </si>
  <si>
    <t xml:space="preserve">FY09 articles (April '08 TM) </t>
  </si>
  <si>
    <t xml:space="preserve">FY09 Surrenden Farm debt </t>
  </si>
  <si>
    <t xml:space="preserve">Total April '08 TM Articles </t>
  </si>
  <si>
    <t xml:space="preserve">Nashua Road Study </t>
  </si>
  <si>
    <t xml:space="preserve">Chicopee School #7 </t>
  </si>
  <si>
    <t xml:space="preserve">Balance before FY10 Adjmts </t>
  </si>
  <si>
    <t xml:space="preserve">FY10 outlook adjustments </t>
  </si>
  <si>
    <t xml:space="preserve">Total FY10 Adjustments </t>
  </si>
  <si>
    <t xml:space="preserve">Balance after FY10 Adjmts </t>
  </si>
  <si>
    <t xml:space="preserve">FY2010 revenue forecast </t>
  </si>
  <si>
    <t xml:space="preserve">FY2010 state match </t>
  </si>
  <si>
    <t xml:space="preserve">Total FY2010 forecast </t>
  </si>
  <si>
    <t xml:space="preserve">April 2009 TM Articles </t>
  </si>
  <si>
    <t xml:space="preserve">FY10 revenue - expenses </t>
  </si>
  <si>
    <t>In FY2010 the Historic Reserve revenue will be $70,000.00 and the expenses will be $161,350.00 resulting in a $91,350.00</t>
  </si>
  <si>
    <t>shortfall so an additional $91,350.00 of Historic Reserve Reserve funds will be encumbered in FY2009 to make sure that</t>
  </si>
  <si>
    <t>no shortfall occurs in FY2010.  $91,350.00 of the $100,000.000 Groton Grange funds will be encumbered in FY2009.</t>
  </si>
  <si>
    <t>In FY2010 the Open Space Reserve revenue will be $70,000.00 and the expenses will be $78,650.00 resulting in a $8,650.00</t>
  </si>
  <si>
    <t>shortfall so an additional $8,650.00 of Open Space Reserve funds will be encumbered in FY2010 to make sure that no</t>
  </si>
  <si>
    <t>shortfall occurs in FY2010.  The entire Unkety Brook Well Phase I will be encumbered in FY2009.</t>
  </si>
  <si>
    <t>In FY2010 the Unallocated Reserve revenue will be $490,000.00 and the expenses will be $742,365.00 resulting in a</t>
  </si>
  <si>
    <t>$252,365.00 shortfall.  For an unknown reason we encumbered an extra $35,000.00 or $287,365.00 of Unallocated Reserve</t>
  </si>
  <si>
    <t>funds so that no shortfall occurs in FY2010.  $287,365.00 of the $422,231.00 FY10 Surrenden Farm debt service payment</t>
  </si>
  <si>
    <t>that will come from the Unallocated Reserve account will be encumbered in FY2009.</t>
  </si>
  <si>
    <t>Analysis of Groton's FY2008 Form CP-2 by Transaction</t>
  </si>
  <si>
    <t xml:space="preserve">Interest earned FY2008 </t>
  </si>
  <si>
    <t xml:space="preserve">FY08 articles (April '07 TM) </t>
  </si>
  <si>
    <t xml:space="preserve">FY08 Surrenden Farm debt </t>
  </si>
  <si>
    <t xml:space="preserve">FY08 articles (Oct. '07 TM) </t>
  </si>
  <si>
    <t>2007-01</t>
  </si>
  <si>
    <t xml:space="preserve">Squannacook Hall </t>
  </si>
  <si>
    <t>2007-03</t>
  </si>
  <si>
    <t xml:space="preserve">Cemetery Survey </t>
  </si>
  <si>
    <t>2007-07</t>
  </si>
  <si>
    <t>2007-08</t>
  </si>
  <si>
    <t xml:space="preserve">Squannacook Rail Trail </t>
  </si>
  <si>
    <t>2007-11</t>
  </si>
  <si>
    <t xml:space="preserve">Affordable Housing Plan </t>
  </si>
  <si>
    <t xml:space="preserve">Total Oct. '07 TM Articles </t>
  </si>
  <si>
    <t xml:space="preserve">Balance before FY09 Adjmts </t>
  </si>
  <si>
    <t xml:space="preserve">Total FY09Adjustments </t>
  </si>
  <si>
    <t xml:space="preserve">FY2009 revenue forecast </t>
  </si>
  <si>
    <t xml:space="preserve">FY2009 state match </t>
  </si>
  <si>
    <t xml:space="preserve">Total FY2009 forecast </t>
  </si>
  <si>
    <t xml:space="preserve">April 2008 TM Articles </t>
  </si>
  <si>
    <t xml:space="preserve">Total April 2008 TM articles </t>
  </si>
  <si>
    <t xml:space="preserve">FY09 revenue - expenses </t>
  </si>
  <si>
    <t>Encumbrance Details as of 1 July 2008</t>
  </si>
  <si>
    <t xml:space="preserve">Wharton Plantation Bridges </t>
  </si>
  <si>
    <t>Analysis of Groton's FY2007 Form CP-2 by Transaction</t>
  </si>
  <si>
    <t xml:space="preserve">Opening Bal - 1-Jul-2006 </t>
  </si>
  <si>
    <t xml:space="preserve">State match - 15-Oct-06 </t>
  </si>
  <si>
    <t xml:space="preserve">Interest earned FY2007 </t>
  </si>
  <si>
    <t xml:space="preserve">FY07 articles (April '06 TM) </t>
  </si>
  <si>
    <t xml:space="preserve">Total April '06 TM Articles </t>
  </si>
  <si>
    <t xml:space="preserve">FY07 articles (Oct. '06 TM) </t>
  </si>
  <si>
    <t xml:space="preserve">ComWide Preservation II </t>
  </si>
  <si>
    <t>2006-05</t>
  </si>
  <si>
    <t xml:space="preserve">Norris Property </t>
  </si>
  <si>
    <t>2006-06</t>
  </si>
  <si>
    <t xml:space="preserve">Prescott School Nat Reg </t>
  </si>
  <si>
    <t>2006-10</t>
  </si>
  <si>
    <t xml:space="preserve">Lost Lake Basketball Court </t>
  </si>
  <si>
    <t xml:space="preserve">Total Oct. '06 TM Articles </t>
  </si>
  <si>
    <t xml:space="preserve">FY07 Surrenden Farm debt </t>
  </si>
  <si>
    <t xml:space="preserve">Balance before FY08 Adjmts </t>
  </si>
  <si>
    <t xml:space="preserve">FY08 outlook adjustments </t>
  </si>
  <si>
    <t xml:space="preserve">Total FY08 Adjustments </t>
  </si>
  <si>
    <t xml:space="preserve">Balance after FY08 Adjmts </t>
  </si>
  <si>
    <t xml:space="preserve">FY2008 revenue forecast </t>
  </si>
  <si>
    <t xml:space="preserve">FY2008 state match </t>
  </si>
  <si>
    <t xml:space="preserve">Total FY2008 forecast </t>
  </si>
  <si>
    <t>In FY2008 the expected Open Space Reserve revenue will be $92,000.00 and the expected expenses will be $165,000.00</t>
  </si>
  <si>
    <t>resulting in a $73,000.00 shortfall so an additional $73,000.00 of Open Space Reserve funds will need to be encumbered</t>
  </si>
  <si>
    <t>in FY2007 to make sure that no shortfall occurs in FY2008.  $73,000.00 of the FY08 Surrenden Farm debt service will be</t>
  </si>
  <si>
    <t>encumbered in FY2007.</t>
  </si>
  <si>
    <t>In FY2008 the expected Unallocated Reserve revenue will be $644,000.00 and the expected expenses will be $884,297.00</t>
  </si>
  <si>
    <t>resulting in a $240,297.00 shortfall so an additional $240,297.00 of Unallocated Reserve funds will need to be encumbered</t>
  </si>
  <si>
    <t>in FY2007 to make sure that no shortfall occurs in FY2008.  $240,297.00 of the FY08 Surrenden Farm debt service will be</t>
  </si>
  <si>
    <t>Analysis of Groton's FY2006 Form CP-2 by Transaction</t>
  </si>
  <si>
    <t xml:space="preserve">Opening Bal - 1-Jul-2005 </t>
  </si>
  <si>
    <t xml:space="preserve">State match - 15-Oct-05 </t>
  </si>
  <si>
    <t xml:space="preserve">Interest earned FY2006 </t>
  </si>
  <si>
    <t xml:space="preserve">FY06 articles (April '05 TM) </t>
  </si>
  <si>
    <t xml:space="preserve">Total April '05 TM Articles </t>
  </si>
  <si>
    <t xml:space="preserve">FY06 articles (Oct. '05 TM) </t>
  </si>
  <si>
    <t>2005-02</t>
  </si>
  <si>
    <t xml:space="preserve">Sargisson Beach Docks </t>
  </si>
  <si>
    <t>2005-06</t>
  </si>
  <si>
    <t>2005-07</t>
  </si>
  <si>
    <t xml:space="preserve">Fitch's Bridge Design </t>
  </si>
  <si>
    <t xml:space="preserve">Balance before FY07 Adjmts </t>
  </si>
  <si>
    <t xml:space="preserve">FY07 outlook adjustments </t>
  </si>
  <si>
    <t xml:space="preserve">Total FY07 Adjustments </t>
  </si>
  <si>
    <t xml:space="preserve">Balance after FY07 Adjmts </t>
  </si>
  <si>
    <t xml:space="preserve">FY2007 revenue forecast </t>
  </si>
  <si>
    <t xml:space="preserve">FY2007 state match </t>
  </si>
  <si>
    <t xml:space="preserve">Total FY2007 forecast </t>
  </si>
  <si>
    <t xml:space="preserve">April 2006 TM Articles </t>
  </si>
  <si>
    <t xml:space="preserve">Total April 2006 TM articles </t>
  </si>
  <si>
    <t xml:space="preserve">FY07 revenue - expenses </t>
  </si>
  <si>
    <t>In FY2007 the expected revenues will exceed the expected expenses for Housing, Historic, Open Space and Unallocated</t>
  </si>
  <si>
    <t>resulting in no need for encumbering FY2006 CPA funds to prevent a shortfall in FY2007.</t>
  </si>
  <si>
    <t>Encumbrance Details as of 1 July 2005</t>
  </si>
  <si>
    <t xml:space="preserve">Unkety Brook Well Phase II </t>
  </si>
  <si>
    <t xml:space="preserve">Prescott School FY19 </t>
  </si>
  <si>
    <t xml:space="preserve">Conservation Fund FY20 </t>
  </si>
  <si>
    <t xml:space="preserve">Housing Coordinator FY20 </t>
  </si>
  <si>
    <t xml:space="preserve">Housing Coordinator FY21 </t>
  </si>
  <si>
    <t xml:space="preserve">Housing Coordinator FY19 </t>
  </si>
  <si>
    <t xml:space="preserve">Prescott School FY18 </t>
  </si>
  <si>
    <t xml:space="preserve">Conservation Fund FY18 </t>
  </si>
  <si>
    <t xml:space="preserve">Baddacook Pond FY18 </t>
  </si>
  <si>
    <t xml:space="preserve">Housing Coordinator FY18 </t>
  </si>
  <si>
    <t xml:space="preserve">Prescott School FY17 </t>
  </si>
  <si>
    <t xml:space="preserve">Housing Coordinator FY17 </t>
  </si>
  <si>
    <t xml:space="preserve">Housing Coordinator FY16 </t>
  </si>
  <si>
    <t xml:space="preserve">Conservation Fund FY16 </t>
  </si>
  <si>
    <t xml:space="preserve">Conservation Fund FY13 </t>
  </si>
  <si>
    <t xml:space="preserve">Conservation Fund FY06 </t>
  </si>
  <si>
    <t xml:space="preserve">Conservation Fund FY10 </t>
  </si>
  <si>
    <t xml:space="preserve">Conservation Adder FY13 </t>
  </si>
  <si>
    <t xml:space="preserve">Conservation Fund FY21 </t>
  </si>
  <si>
    <t xml:space="preserve">Conservation Fund FY08 </t>
  </si>
  <si>
    <t xml:space="preserve">Historic Docs Preservation I </t>
  </si>
  <si>
    <t xml:space="preserve">Historic Docs Preservation II </t>
  </si>
  <si>
    <t xml:space="preserve">ComWide Preservation III </t>
  </si>
  <si>
    <t xml:space="preserve">ComWide Preservation I </t>
  </si>
  <si>
    <t xml:space="preserve">FY09 outlook adjustments </t>
  </si>
  <si>
    <t>Analysis of Groton's FY2013 Form CP-2 by Transaction</t>
  </si>
  <si>
    <t>Analysis of Groton's FY2014 Form CP-2 by Transaction</t>
  </si>
  <si>
    <t>Analysis of Groton's FY2015 Form CP-2 by Transaction</t>
  </si>
  <si>
    <t>Analysis of Groton's FY2016 Form CP-2 by Transaction</t>
  </si>
  <si>
    <t>Analysis of Groton's FY2017 Form CP-2 by Transaction</t>
  </si>
  <si>
    <t>Analysis of Groton's FY2018 Form CP-2 by Transaction</t>
  </si>
  <si>
    <t>Analysis of Groton's FY2020 Form CP-2 by Transaction</t>
  </si>
  <si>
    <t>Analysis of Groton's FY2019 Form CP-2 by Transaction</t>
  </si>
  <si>
    <t xml:space="preserve">Opening Bal - 1-Jul-2007 </t>
  </si>
  <si>
    <t xml:space="preserve">State match - 15-Oct-07 </t>
  </si>
  <si>
    <t xml:space="preserve">Total April '07 TM Articles </t>
  </si>
  <si>
    <t xml:space="preserve">Balance after FY09 Adjmts </t>
  </si>
  <si>
    <t>resulting in no Community Housing Reserve shortfall.  No Community Housing Reserve funds will be encumbered in</t>
  </si>
  <si>
    <t>Encumbrance Details as of 1 July 2007</t>
  </si>
  <si>
    <t>In FY2009 the projected Community Housing Reserve revenue will be $70,000.00 and the projected expenses will be $0.00</t>
  </si>
  <si>
    <t>FY2008 to prevent a shortfall in FY2009.</t>
  </si>
  <si>
    <t>In FY2009 the projected Historic Reserve revenue will be $70,000.00 and the projected expenses will be $0.00 resulting in</t>
  </si>
  <si>
    <t>no Historic Reserve shortfall. No Historic Reserve funds will be encumbered in FY2008 to prevent a shortfall in FY2009.</t>
  </si>
  <si>
    <t xml:space="preserve">In FY2009 the Open Space Reserve revenue will be $70,000.00 and the expenses will be $70,000.00 resulting in no </t>
  </si>
  <si>
    <t xml:space="preserve">shortfall so on Open Space Reserve funds need be encumbered in FY2008 to make sure that no shortfall occurs in FY2009. </t>
  </si>
  <si>
    <t>In FY2009 the Unallocated Reserve revenue is expected to be $490,000.00 and the expenses will be $457,213.00 resulting</t>
  </si>
  <si>
    <t>in no FY2009 shortfall so no Unallocated Reserve fuds will be encumbered in FY2008 to prevent a shortfall in FY2009.</t>
  </si>
  <si>
    <t xml:space="preserve">Housing Coordinator FY22 </t>
  </si>
  <si>
    <t>2022-01</t>
  </si>
  <si>
    <t>2022-02</t>
  </si>
  <si>
    <t xml:space="preserve">Field Feasibility Study </t>
  </si>
  <si>
    <t xml:space="preserve">Lost Lake Pollution </t>
  </si>
  <si>
    <t>2022-03</t>
  </si>
  <si>
    <t>2022-04</t>
  </si>
  <si>
    <t xml:space="preserve">Housing Site Assessment </t>
  </si>
  <si>
    <t>2022-06</t>
  </si>
  <si>
    <t xml:space="preserve">Duck Pond Phase 2 </t>
  </si>
  <si>
    <t>2022-07</t>
  </si>
  <si>
    <t>2022-08</t>
  </si>
  <si>
    <t>2022-09</t>
  </si>
  <si>
    <t xml:space="preserve">Stadium Field </t>
  </si>
  <si>
    <t>2022-10</t>
  </si>
  <si>
    <t>2022-12</t>
  </si>
  <si>
    <t xml:space="preserve">Country Club Courts </t>
  </si>
  <si>
    <t>2022-13</t>
  </si>
  <si>
    <t xml:space="preserve">Library Skylight </t>
  </si>
  <si>
    <t>2022-14</t>
  </si>
  <si>
    <t xml:space="preserve">FY22 articles (May '21 TM) </t>
  </si>
  <si>
    <t xml:space="preserve">When a project is closed out with money remaining then the remaining money is deducted from the Reserved account and added to the respective Unreserved account. </t>
  </si>
  <si>
    <t xml:space="preserve">State match - 15-Oct-08 </t>
  </si>
  <si>
    <t>Analysis of Groton's FY2021 Form CP-2 by Transaction</t>
  </si>
  <si>
    <t xml:space="preserve">Opening bal  - 1-Jul-2022 </t>
  </si>
  <si>
    <t xml:space="preserve">Interest earned FY2023 </t>
  </si>
  <si>
    <t xml:space="preserve">Total May '22 TM Articles </t>
  </si>
  <si>
    <t xml:space="preserve">Total Oct '21 TM Articles </t>
  </si>
  <si>
    <t>$3,700.00 donation was made to partially offset Duck Pond Phase II 2022-09 project costs</t>
  </si>
  <si>
    <t xml:space="preserve">Total May '21 TM Articles </t>
  </si>
  <si>
    <t xml:space="preserve">FY22 articles (Oct '21 TM) </t>
  </si>
  <si>
    <t xml:space="preserve">FY23 articles (Oct '22 TM) </t>
  </si>
  <si>
    <t xml:space="preserve">Total Oct '22 TM Articles </t>
  </si>
  <si>
    <t xml:space="preserve">Balance before FY24 Adj </t>
  </si>
  <si>
    <t xml:space="preserve">FY24 outlook adjustments </t>
  </si>
  <si>
    <t xml:space="preserve">Total FY24 Adjustments </t>
  </si>
  <si>
    <t xml:space="preserve">Balance after FY24 Adj </t>
  </si>
  <si>
    <t xml:space="preserve">FY2024 revenue forecast </t>
  </si>
  <si>
    <t xml:space="preserve">State match - 15-Nov-23 </t>
  </si>
  <si>
    <t xml:space="preserve">FY2024 interest </t>
  </si>
  <si>
    <t xml:space="preserve">Total FY2024 forecast </t>
  </si>
  <si>
    <t xml:space="preserve">Total May 2023 TM articles </t>
  </si>
  <si>
    <t xml:space="preserve">FY24 revenue - expenses </t>
  </si>
  <si>
    <t xml:space="preserve">FY23 articles (Apr '22 TM) </t>
  </si>
  <si>
    <t>2023-01</t>
  </si>
  <si>
    <t xml:space="preserve">Prescott Stone </t>
  </si>
  <si>
    <t>2023-03</t>
  </si>
  <si>
    <t xml:space="preserve">Nashua River Walk </t>
  </si>
  <si>
    <t>2023-04</t>
  </si>
  <si>
    <t xml:space="preserve">Prescott Elevator Design </t>
  </si>
  <si>
    <t>2023-05</t>
  </si>
  <si>
    <t>2023-06</t>
  </si>
  <si>
    <t xml:space="preserve">Bates/Blackman </t>
  </si>
  <si>
    <t>2023-07</t>
  </si>
  <si>
    <t xml:space="preserve">Recreation Courts </t>
  </si>
  <si>
    <t>2023-11</t>
  </si>
  <si>
    <t xml:space="preserve">Middle School Track II </t>
  </si>
  <si>
    <t>2023-15</t>
  </si>
  <si>
    <t xml:space="preserve">Middle School Track I </t>
  </si>
  <si>
    <t xml:space="preserve">April 2022 TM Articles </t>
  </si>
  <si>
    <t>Encumbrance forecast details as of 30 April 2022  (Encumbrances brought forward from FY2022)</t>
  </si>
  <si>
    <t>Encumbrance forecast details as of 30 April 2022  (Encumbrances brought forward from FY2021)</t>
  </si>
  <si>
    <t xml:space="preserve">Interest earned FY2024 </t>
  </si>
  <si>
    <t xml:space="preserve">FY24 articles (Apr '23 TM) </t>
  </si>
  <si>
    <t xml:space="preserve">FY24 articles (Oct '23 TM) </t>
  </si>
  <si>
    <t xml:space="preserve">Total Oct '23 TM Articles </t>
  </si>
  <si>
    <t xml:space="preserve">Balance before FY25 Adj </t>
  </si>
  <si>
    <t xml:space="preserve">FY25 outlook adjustments </t>
  </si>
  <si>
    <t xml:space="preserve">Total FY25 Adjustments </t>
  </si>
  <si>
    <t xml:space="preserve">Balance after FY25 Adj </t>
  </si>
  <si>
    <t xml:space="preserve">FY2025 revenue forecast </t>
  </si>
  <si>
    <t xml:space="preserve">State match - 15-Nov-24 </t>
  </si>
  <si>
    <t xml:space="preserve">FY2025 interest </t>
  </si>
  <si>
    <t xml:space="preserve">Total FY2025 forecast </t>
  </si>
  <si>
    <t xml:space="preserve">FY25 revenue - expenses </t>
  </si>
  <si>
    <t>Encumbrance forecast details as of 30 April 2023  (Encumbrances brought forward from FY2023)</t>
  </si>
  <si>
    <t>FY2024 CPC Administrative Assistant salary will be paid the CPC's administration fund</t>
  </si>
  <si>
    <t>FY2024 CPC operating expense includes $2,500 Community Preservation Coalition dues</t>
  </si>
  <si>
    <t>All outstanding projects will be completed with zero balance remaining on 30 June 2024.</t>
  </si>
  <si>
    <t xml:space="preserve">Local surtax FY2024 </t>
  </si>
  <si>
    <t xml:space="preserve">FY2025 local surtax </t>
  </si>
  <si>
    <t xml:space="preserve">Local surtax FY2023 </t>
  </si>
  <si>
    <t xml:space="preserve">FY2024 local surtax </t>
  </si>
  <si>
    <t xml:space="preserve">Local surtax FY2022 </t>
  </si>
  <si>
    <t xml:space="preserve">FY2023 local surtax </t>
  </si>
  <si>
    <t xml:space="preserve">Local surtax FY2021 </t>
  </si>
  <si>
    <t xml:space="preserve">FY2022 local surtax </t>
  </si>
  <si>
    <t xml:space="preserve">Local surtax FY2020 </t>
  </si>
  <si>
    <t xml:space="preserve">FY2021 local surtax </t>
  </si>
  <si>
    <t xml:space="preserve">Local surtax FY2019 </t>
  </si>
  <si>
    <t xml:space="preserve">FY2020 local surtax </t>
  </si>
  <si>
    <t xml:space="preserve">Local surtax FY2018 </t>
  </si>
  <si>
    <t xml:space="preserve">FY2019 local surtax </t>
  </si>
  <si>
    <t>FY2019 local surtax revenue will be $550,000.</t>
  </si>
  <si>
    <t xml:space="preserve">Local surtax FY2017 </t>
  </si>
  <si>
    <t xml:space="preserve">FY2018 local surtax </t>
  </si>
  <si>
    <t>FY2018 local surtax revenue will be $550,000.</t>
  </si>
  <si>
    <t xml:space="preserve">Local surtax FY2016 </t>
  </si>
  <si>
    <t xml:space="preserve">FY2017 local surtax </t>
  </si>
  <si>
    <t>FY2017 local surtax revenue will be $550,000.</t>
  </si>
  <si>
    <t xml:space="preserve">Local surtax FY2015 </t>
  </si>
  <si>
    <t xml:space="preserve">FY2016 local surtax </t>
  </si>
  <si>
    <t>FY2016 local surtax revenue will be $550,000.</t>
  </si>
  <si>
    <t xml:space="preserve">Local surtax FY2014 </t>
  </si>
  <si>
    <t xml:space="preserve">FY2015 local surtax </t>
  </si>
  <si>
    <t>FY2015 local surtax revenue will be $550,000.</t>
  </si>
  <si>
    <t xml:space="preserve">Local surtax FY2013 </t>
  </si>
  <si>
    <t xml:space="preserve">FY2014 local surtax </t>
  </si>
  <si>
    <t>FY2014 local surtax revenue will be $525,000.</t>
  </si>
  <si>
    <t xml:space="preserve">Local surtax FY2012 </t>
  </si>
  <si>
    <t xml:space="preserve">FY2013 local surtax </t>
  </si>
  <si>
    <t>FY13 local surtax revenue forcast is $525,000</t>
  </si>
  <si>
    <t xml:space="preserve">Local surtax FY2011 </t>
  </si>
  <si>
    <t xml:space="preserve">FY2012 local surtax </t>
  </si>
  <si>
    <t xml:space="preserve">Local surtax FY2010 </t>
  </si>
  <si>
    <t xml:space="preserve">FY2011 local surtax </t>
  </si>
  <si>
    <t xml:space="preserve">Local surtax FY2009 </t>
  </si>
  <si>
    <t xml:space="preserve">FY2010 local surtax </t>
  </si>
  <si>
    <t xml:space="preserve">Local surtax FY2008 </t>
  </si>
  <si>
    <t xml:space="preserve">FY2009 local surtax </t>
  </si>
  <si>
    <t xml:space="preserve">Local surtax FY2007 </t>
  </si>
  <si>
    <t xml:space="preserve">FY2008 local surtax </t>
  </si>
  <si>
    <t xml:space="preserve">Local surtax FY2006 </t>
  </si>
  <si>
    <t xml:space="preserve">FY2007 local surtax </t>
  </si>
  <si>
    <t>2023-16</t>
  </si>
  <si>
    <t xml:space="preserve">Prescott Elevator Install </t>
  </si>
  <si>
    <t>Analysis of Groton's FY2022 Form CP-2 by Transaction</t>
  </si>
  <si>
    <t xml:space="preserve">FY23 articles (Apr '23 TM) </t>
  </si>
  <si>
    <t xml:space="preserve">Total Apr '23 TM Articles </t>
  </si>
  <si>
    <t xml:space="preserve">Housing Trust FY24 </t>
  </si>
  <si>
    <t>2024-01</t>
  </si>
  <si>
    <t xml:space="preserve">Conservation Fund FY24 </t>
  </si>
  <si>
    <t>2024-03</t>
  </si>
  <si>
    <t xml:space="preserve">Massapoag Pond </t>
  </si>
  <si>
    <t>2024-02</t>
  </si>
  <si>
    <t xml:space="preserve">Baseball Diamond </t>
  </si>
  <si>
    <t>2024-04</t>
  </si>
  <si>
    <t xml:space="preserve">Cuttler Softball Fields </t>
  </si>
  <si>
    <t>2024-05</t>
  </si>
  <si>
    <t>2024-07</t>
  </si>
  <si>
    <t xml:space="preserve">Housing Coordinator FY24 </t>
  </si>
  <si>
    <t xml:space="preserve">Squannacook Rail Trial FY24 </t>
  </si>
  <si>
    <t>2024-09</t>
  </si>
  <si>
    <t xml:space="preserve">April 2023 TM Articles </t>
  </si>
  <si>
    <t xml:space="preserve">Opening bal  - 1-Jul-2024 </t>
  </si>
  <si>
    <t xml:space="preserve">Local surtax FY2025 </t>
  </si>
  <si>
    <t xml:space="preserve">Interest earned FY2025 </t>
  </si>
  <si>
    <t xml:space="preserve">FY25 articles (Oct '24 TM) </t>
  </si>
  <si>
    <t xml:space="preserve">Total Oct '24 TM Articles </t>
  </si>
  <si>
    <t xml:space="preserve">Balance before FY26 Adj </t>
  </si>
  <si>
    <t xml:space="preserve">FY26 outlook adjustments </t>
  </si>
  <si>
    <t xml:space="preserve">Total FY26 Adjustments </t>
  </si>
  <si>
    <t xml:space="preserve">Balance after FY26 Adj </t>
  </si>
  <si>
    <t xml:space="preserve">FY2026 revenue forecast </t>
  </si>
  <si>
    <t xml:space="preserve">FY2026 local surtax </t>
  </si>
  <si>
    <t xml:space="preserve">State match - 15-Nov-25 </t>
  </si>
  <si>
    <t xml:space="preserve">FY2026 interest </t>
  </si>
  <si>
    <t xml:space="preserve">Total FY2026 forecast </t>
  </si>
  <si>
    <t xml:space="preserve">Total May 2025 TM articles </t>
  </si>
  <si>
    <t xml:space="preserve">FY26 revenue - expenses </t>
  </si>
  <si>
    <t>Encumbrance forecast details as of 28 June 2023  (Encumbrances brought forward from FY2024)</t>
  </si>
  <si>
    <t xml:space="preserve">Cemetery Restoration </t>
  </si>
  <si>
    <t>Analysis of Groton's FY2023 Form CP-2 by Transaction</t>
  </si>
  <si>
    <t>Gifts intended to be used for specific projects are recorded as Reserved gifts within their respective bins.</t>
  </si>
  <si>
    <t>2025-04</t>
  </si>
  <si>
    <t xml:space="preserve">Sustainable Groton </t>
  </si>
  <si>
    <t xml:space="preserve">Conservation Fund FY25 </t>
  </si>
  <si>
    <t>2025-01</t>
  </si>
  <si>
    <t>2025-02</t>
  </si>
  <si>
    <t xml:space="preserve">Cow Pond Play Fields </t>
  </si>
  <si>
    <t>2025-03</t>
  </si>
  <si>
    <t>2025-05</t>
  </si>
  <si>
    <t xml:space="preserve">Prescott Assessment </t>
  </si>
  <si>
    <t>2025-07</t>
  </si>
  <si>
    <t xml:space="preserve">SRRT - Phase II Permitting </t>
  </si>
  <si>
    <t xml:space="preserve">Bancroft Castle Study </t>
  </si>
  <si>
    <t>2025-08</t>
  </si>
  <si>
    <t>2025-09</t>
  </si>
  <si>
    <t xml:space="preserve">Boutwell Security </t>
  </si>
  <si>
    <t>2025-10</t>
  </si>
  <si>
    <t>2025-11</t>
  </si>
  <si>
    <t>2025-12</t>
  </si>
  <si>
    <t xml:space="preserve">Tools for Trails </t>
  </si>
  <si>
    <t xml:space="preserve">Milestone Restoration III </t>
  </si>
  <si>
    <t xml:space="preserve">Total Mar 2024 TM articles </t>
  </si>
  <si>
    <t>An encumbrance of $355,669.00 will need to be made to the Community Housing Reserve to the $400,000.00 FY24 Housing Fund project to insure no shortfall occurst in the Community Housing Reserve account in FY2025.</t>
  </si>
  <si>
    <t xml:space="preserve">FY25 Housing Fund </t>
  </si>
  <si>
    <t xml:space="preserve">Total Mar '24 TM Articles </t>
  </si>
  <si>
    <t xml:space="preserve">FY24 articles (May '24 TM) </t>
  </si>
  <si>
    <t xml:space="preserve">FY25 articles (May '24 TM) </t>
  </si>
  <si>
    <t xml:space="preserve">May 2024 TM Articles </t>
  </si>
  <si>
    <t>An encumbrance of $87,799.00 will need to be made to the Historic Reserve to the $100,000.00 Prescott Assessment project to insure no shortfall occurs in the Historic Reserve account in FY2025.</t>
  </si>
  <si>
    <t>Analysis of Groton's FY2024 Form CP-2 by Transaction</t>
  </si>
  <si>
    <t>Groton's FY2026 Form CP-2 Forecast by Transaction</t>
  </si>
  <si>
    <t xml:space="preserve">Opening bal  - 1-Jul-2025 </t>
  </si>
  <si>
    <t xml:space="preserve">Local surtax FY2026 </t>
  </si>
  <si>
    <t xml:space="preserve">Interest earned </t>
  </si>
  <si>
    <t xml:space="preserve">Total May '24 TM Articles </t>
  </si>
  <si>
    <t xml:space="preserve">Total Oct '25 TM Articles </t>
  </si>
  <si>
    <t xml:space="preserve">Balance before FY27 Adj </t>
  </si>
  <si>
    <t xml:space="preserve">Total FY27 Adjustments </t>
  </si>
  <si>
    <t xml:space="preserve">Balance after FY27 Adj </t>
  </si>
  <si>
    <t xml:space="preserve">FY2027 revenue forecast </t>
  </si>
  <si>
    <t xml:space="preserve">FY2027 local surtax </t>
  </si>
  <si>
    <t xml:space="preserve">State match - 15-Nov-26 </t>
  </si>
  <si>
    <t xml:space="preserve">FY2027 interest </t>
  </si>
  <si>
    <t xml:space="preserve">Total FY2027 forecast </t>
  </si>
  <si>
    <t xml:space="preserve">May 2026 TM Articles </t>
  </si>
  <si>
    <t>No encumbrances will need to be made in FY2026 to insure no shortfall in FY2027.</t>
  </si>
  <si>
    <t>FY2026 CPC operating expense includes $3,500 Community Preservation Coalition dues</t>
  </si>
  <si>
    <t>All outstanding projects will be completed with zero balance remaining on 30 June 2026.</t>
  </si>
  <si>
    <t xml:space="preserve">CPA Funds </t>
  </si>
  <si>
    <t xml:space="preserve">Total </t>
  </si>
  <si>
    <t xml:space="preserve">Non-CPA </t>
  </si>
  <si>
    <t xml:space="preserve">CPA </t>
  </si>
  <si>
    <t>Funds Type</t>
  </si>
  <si>
    <t>N/A</t>
  </si>
  <si>
    <t xml:space="preserve">(none yet) </t>
  </si>
  <si>
    <t>Affordable Housing Trust Balance - 13 Jan 25</t>
  </si>
  <si>
    <t xml:space="preserve">Conservation Fund FY22 </t>
  </si>
  <si>
    <t xml:space="preserve">Conservation Fund FY23 </t>
  </si>
  <si>
    <t>An encumbrance of $231,381.00 will need to be made to the Unallocated Reserve to the $285,000.00 Conservation Fund FY23 to insure no shortfall occurs in the Unallocated Reserve account in FY2022</t>
  </si>
  <si>
    <t xml:space="preserve">Housing Coordinator FY23 </t>
  </si>
  <si>
    <t xml:space="preserve">Housing Coordinator FY25 </t>
  </si>
  <si>
    <t xml:space="preserve">West Groton Rail Trail </t>
  </si>
  <si>
    <t>2026-01</t>
  </si>
  <si>
    <t xml:space="preserve">FY26 Conservation Fund </t>
  </si>
  <si>
    <t>2026-02</t>
  </si>
  <si>
    <t>2026-03</t>
  </si>
  <si>
    <t xml:space="preserve">FY26 Housing Fund </t>
  </si>
  <si>
    <t xml:space="preserve">Cow Pond Brook Fields </t>
  </si>
  <si>
    <t>2026-05</t>
  </si>
  <si>
    <t xml:space="preserve">FY26 Housing Coordinator </t>
  </si>
  <si>
    <t>2026-06</t>
  </si>
  <si>
    <t>2026-09</t>
  </si>
  <si>
    <t>2026-10</t>
  </si>
  <si>
    <t xml:space="preserve">Prescott Community Center </t>
  </si>
  <si>
    <t xml:space="preserve">Bancroft Castle </t>
  </si>
  <si>
    <t xml:space="preserve">Cow Pond Baseball </t>
  </si>
  <si>
    <t>2026-11</t>
  </si>
  <si>
    <t xml:space="preserve">Town Field Improvements </t>
  </si>
  <si>
    <t>2026-14</t>
  </si>
  <si>
    <t xml:space="preserve">Boutwell Curatorial Storage </t>
  </si>
  <si>
    <t>2026-15</t>
  </si>
  <si>
    <t xml:space="preserve">Williams Barn Restoration </t>
  </si>
  <si>
    <t>2026-18</t>
  </si>
  <si>
    <t xml:space="preserve">April 2025 TM Articles </t>
  </si>
  <si>
    <t xml:space="preserve">FY27 outlook adjustments </t>
  </si>
  <si>
    <t xml:space="preserve">FY26 articles (Apr '25 TM) </t>
  </si>
  <si>
    <t xml:space="preserve">FY26 articles (Oct '25 TM) </t>
  </si>
  <si>
    <t xml:space="preserve">Total Apr '25 TM Articles </t>
  </si>
  <si>
    <t>Conservation Fund Balance -11 Aug 25</t>
  </si>
  <si>
    <t>Analysis of Groton's FY2025 Form CP-2 by Transaction</t>
  </si>
  <si>
    <t>Budgeted</t>
  </si>
  <si>
    <t>Delta</t>
  </si>
  <si>
    <t xml:space="preserve">FY25 Conservation Fund </t>
  </si>
  <si>
    <t xml:space="preserve">Nashua Riverwalk </t>
  </si>
  <si>
    <t>Encumbrance forecast details as of 20 Augustl 2025  (Encumbrances brought forward from FY2025)</t>
  </si>
  <si>
    <t xml:space="preserve"> and $45,731.00 Williams Barn Restoration projects to insure no shortfall occurs in the Historic Reserve account in FY2026.</t>
  </si>
  <si>
    <t>FY2026 CPC Administrative Assistant salary and benefits will be paid the CPC's administration fund</t>
  </si>
  <si>
    <t xml:space="preserve">FY23 Middle School Track II </t>
  </si>
  <si>
    <t xml:space="preserve">FY24 Middle School Track II </t>
  </si>
  <si>
    <t xml:space="preserve">FY23 Middle School Track I </t>
  </si>
  <si>
    <t xml:space="preserve">FY24 Middle School Track I </t>
  </si>
  <si>
    <t xml:space="preserve">FY25 Middle School Track I </t>
  </si>
  <si>
    <t xml:space="preserve">FY26 Middle School Track I </t>
  </si>
  <si>
    <t xml:space="preserve">FY22 Middle School Track I </t>
  </si>
  <si>
    <t>Groton's FY2027 Form CP-2 Forecast by Transaction</t>
  </si>
  <si>
    <t xml:space="preserve">Local surtax FY2027 </t>
  </si>
  <si>
    <t xml:space="preserve">FY27 articles (Apr '26 TM) </t>
  </si>
  <si>
    <t xml:space="preserve">Total Apr '26 TM Articles </t>
  </si>
  <si>
    <t xml:space="preserve">FY27 articles (Oct '26 TM) </t>
  </si>
  <si>
    <t xml:space="preserve">Total Oct '26 TM Articles </t>
  </si>
  <si>
    <t xml:space="preserve">Balance before FY28 Adj </t>
  </si>
  <si>
    <t xml:space="preserve">FY28 outlook adjustments </t>
  </si>
  <si>
    <t xml:space="preserve">Total FY28 Adjustments </t>
  </si>
  <si>
    <t xml:space="preserve">Balance after FY28 Adj </t>
  </si>
  <si>
    <t xml:space="preserve">FY2028 revenue forecast </t>
  </si>
  <si>
    <t xml:space="preserve">FY2028 local surtax </t>
  </si>
  <si>
    <t xml:space="preserve">State match - 15-Nov-27 </t>
  </si>
  <si>
    <t xml:space="preserve">FY2028 interest </t>
  </si>
  <si>
    <t xml:space="preserve">Total FY2028 forecast </t>
  </si>
  <si>
    <t xml:space="preserve">May 2027 TM Articles </t>
  </si>
  <si>
    <t xml:space="preserve">Total May 2027 TM articles </t>
  </si>
  <si>
    <t xml:space="preserve">FY28 revenue - expenses </t>
  </si>
  <si>
    <t>FY2027 CPC Administrative Assistant salary and benefits will be paid the CPC's administration fund</t>
  </si>
  <si>
    <t>FY2027 CPC operating expense includes $3,500 Community Preservation Coalition dues</t>
  </si>
  <si>
    <t>All outstanding projects will be completed with zero balance remaining on 30 June 2027</t>
  </si>
  <si>
    <t xml:space="preserve">FY27 Middle School Track I </t>
  </si>
  <si>
    <t xml:space="preserve">Town Field Improvements 2 </t>
  </si>
  <si>
    <t>FY26 Middle School Track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</si>
</sst>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0_);[Red]\(&quot;$&quot;#,##0.000\)"/>
    <numFmt numFmtId="165" formatCode="General\)\ "/>
    <numFmt numFmtId="166" formatCode="0.0%"/>
  </numFmts>
  <fonts count="9" x14ac:knownFonts="1">
    <font>
      <sz val="11"/>
      <color theme="1"/>
      <name val="Calibri"/>
      <family val="2"/>
      <scheme val="minor"/>
    </font>
    <font>
      <sz val="10"/>
      <color theme="1"/>
      <name val="Calibri"/>
      <family val="2"/>
      <scheme val="minor"/>
    </font>
    <font>
      <i/>
      <sz val="11"/>
      <color theme="1"/>
      <name val="Calibri"/>
      <family val="2"/>
      <scheme val="minor"/>
    </font>
    <font>
      <b/>
      <sz val="11"/>
      <color theme="1"/>
      <name val="Calibri"/>
      <family val="2"/>
      <scheme val="minor"/>
    </font>
    <font>
      <sz val="9"/>
      <color indexed="81"/>
      <name val="Tahoma"/>
      <family val="2"/>
    </font>
    <font>
      <sz val="11"/>
      <color rgb="FF3F3F76"/>
      <name val="Calibri"/>
      <family val="2"/>
      <scheme val="minor"/>
    </font>
    <font>
      <b/>
      <sz val="11"/>
      <color rgb="FFFA7D00"/>
      <name val="Calibri"/>
      <family val="2"/>
      <scheme val="minor"/>
    </font>
    <font>
      <b/>
      <sz val="9"/>
      <color indexed="81"/>
      <name val="Tahoma"/>
      <family val="2"/>
    </font>
    <font>
      <sz val="11"/>
      <color theme="1"/>
      <name val="Calibri"/>
      <family val="2"/>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double">
        <color indexed="64"/>
      </bottom>
      <diagonal/>
    </border>
    <border>
      <left style="thin">
        <color rgb="FF7F7F7F"/>
      </left>
      <right style="thin">
        <color rgb="FF7F7F7F"/>
      </right>
      <top/>
      <bottom/>
      <diagonal/>
    </border>
    <border>
      <left style="thin">
        <color rgb="FF7F7F7F"/>
      </left>
      <right style="thin">
        <color rgb="FF7F7F7F"/>
      </right>
      <top style="medium">
        <color auto="1"/>
      </top>
      <bottom style="thin">
        <color rgb="FF7F7F7F"/>
      </bottom>
      <diagonal/>
    </border>
  </borders>
  <cellStyleXfs count="4">
    <xf numFmtId="0" fontId="0" fillId="0" borderId="0"/>
    <xf numFmtId="0" fontId="5" fillId="2" borderId="6" applyNumberFormat="0" applyAlignment="0" applyProtection="0"/>
    <xf numFmtId="0" fontId="6" fillId="3" borderId="6" applyNumberFormat="0" applyAlignment="0" applyProtection="0"/>
    <xf numFmtId="9" fontId="8" fillId="0" borderId="0" applyFont="0" applyFill="0" applyBorder="0" applyAlignment="0" applyProtection="0"/>
  </cellStyleXfs>
  <cellXfs count="40">
    <xf numFmtId="0" fontId="0" fillId="0" borderId="0" xfId="0"/>
    <xf numFmtId="8" fontId="0" fillId="0" borderId="0" xfId="0" applyNumberFormat="1"/>
    <xf numFmtId="0" fontId="0" fillId="0" borderId="0" xfId="0" applyAlignment="1">
      <alignment horizontal="right"/>
    </xf>
    <xf numFmtId="8" fontId="0" fillId="0" borderId="1" xfId="0" applyNumberFormat="1" applyBorder="1"/>
    <xf numFmtId="0" fontId="0" fillId="0" borderId="1" xfId="0" applyBorder="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center"/>
    </xf>
    <xf numFmtId="8" fontId="6" fillId="3" borderId="6" xfId="2" applyNumberFormat="1"/>
    <xf numFmtId="8" fontId="5" fillId="2" borderId="6" xfId="1" applyNumberFormat="1"/>
    <xf numFmtId="8" fontId="6" fillId="3" borderId="8" xfId="2" applyNumberFormat="1" applyBorder="1"/>
    <xf numFmtId="8" fontId="5" fillId="2" borderId="7" xfId="1" applyNumberFormat="1" applyBorder="1"/>
    <xf numFmtId="8" fontId="6" fillId="3" borderId="7" xfId="2" applyNumberFormat="1" applyBorder="1"/>
    <xf numFmtId="8" fontId="6" fillId="3" borderId="9" xfId="2" applyNumberFormat="1" applyBorder="1"/>
    <xf numFmtId="8" fontId="5" fillId="2" borderId="10" xfId="1" applyNumberFormat="1" applyBorder="1"/>
    <xf numFmtId="8" fontId="6" fillId="3" borderId="10" xfId="2" applyNumberFormat="1" applyBorder="1"/>
    <xf numFmtId="0" fontId="0" fillId="0" borderId="2" xfId="0" applyBorder="1" applyAlignment="1">
      <alignment horizontal="center"/>
    </xf>
    <xf numFmtId="8" fontId="6" fillId="3" borderId="11" xfId="2" applyNumberFormat="1" applyBorder="1"/>
    <xf numFmtId="8" fontId="6" fillId="3" borderId="0" xfId="2" applyNumberFormat="1" applyBorder="1"/>
    <xf numFmtId="0" fontId="3" fillId="0" borderId="0" xfId="0" applyFont="1" applyAlignment="1">
      <alignment horizontal="center"/>
    </xf>
    <xf numFmtId="0" fontId="0" fillId="0" borderId="0" xfId="0" applyAlignment="1">
      <alignment horizontal="center" vertical="center"/>
    </xf>
    <xf numFmtId="0" fontId="0" fillId="0" borderId="6" xfId="0" applyBorder="1"/>
    <xf numFmtId="8" fontId="0" fillId="0" borderId="6" xfId="0" applyNumberFormat="1" applyBorder="1"/>
    <xf numFmtId="8" fontId="5" fillId="2" borderId="12" xfId="1" applyNumberFormat="1" applyBorder="1"/>
    <xf numFmtId="8" fontId="0" fillId="0" borderId="0" xfId="0" applyNumberFormat="1" applyAlignment="1">
      <alignment horizontal="right"/>
    </xf>
    <xf numFmtId="6" fontId="6" fillId="3" borderId="6" xfId="2" applyNumberFormat="1"/>
    <xf numFmtId="8" fontId="6" fillId="3" borderId="13" xfId="2" applyNumberFormat="1" applyBorder="1"/>
    <xf numFmtId="164" fontId="0" fillId="0" borderId="0" xfId="0" applyNumberFormat="1"/>
    <xf numFmtId="8" fontId="5" fillId="2" borderId="0" xfId="1" applyNumberFormat="1" applyBorder="1"/>
    <xf numFmtId="165" fontId="0" fillId="0" borderId="0" xfId="0" applyNumberFormat="1" applyAlignment="1">
      <alignment horizontal="right"/>
    </xf>
    <xf numFmtId="8" fontId="5" fillId="2" borderId="6" xfId="1" applyNumberFormat="1" applyAlignment="1">
      <alignment horizontal="center"/>
    </xf>
    <xf numFmtId="6" fontId="5" fillId="2" borderId="6" xfId="1" applyNumberFormat="1" applyAlignment="1"/>
    <xf numFmtId="6" fontId="6" fillId="3" borderId="6" xfId="2" applyNumberFormat="1" applyAlignment="1"/>
    <xf numFmtId="8" fontId="6" fillId="3" borderId="6" xfId="2" applyNumberFormat="1" applyAlignment="1">
      <alignment horizontal="center"/>
    </xf>
    <xf numFmtId="166" fontId="0" fillId="0" borderId="0" xfId="3" applyNumberFormat="1"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cellXfs>
  <cellStyles count="4">
    <cellStyle name="Calculation" xfId="2" builtinId="22"/>
    <cellStyle name="Input" xfId="1" builtinId="20"/>
    <cellStyle name="Normal" xfId="0" builtinId="0"/>
    <cellStyle name="Percent" xfId="3"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C838-5301-4852-BDF6-6330A099D7D2}">
  <sheetPr>
    <pageSetUpPr fitToPage="1"/>
  </sheetPr>
  <dimension ref="A2:AB90"/>
  <sheetViews>
    <sheetView tabSelected="1" zoomScale="130" zoomScaleNormal="130" workbookViewId="0">
      <pane xSplit="2" ySplit="6" topLeftCell="C36" activePane="bottomRight" state="frozen"/>
      <selection activeCell="G1" sqref="G1"/>
      <selection pane="topRight" activeCell="G1" sqref="G1"/>
      <selection pane="bottomLeft" activeCell="G1" sqref="G1"/>
      <selection pane="bottomRight" activeCell="A46" sqref="A46"/>
    </sheetView>
  </sheetViews>
  <sheetFormatPr defaultRowHeight="15" x14ac:dyDescent="0.25"/>
  <cols>
    <col min="1" max="3" width="12.7109375" customWidth="1"/>
    <col min="4" max="4" width="14.28515625" customWidth="1"/>
    <col min="5" max="5" width="15.7109375" customWidth="1"/>
    <col min="6" max="6" width="14.28515625" customWidth="1"/>
    <col min="7" max="7" width="2.7109375" customWidth="1"/>
    <col min="8" max="8" width="12.7109375" customWidth="1"/>
    <col min="9" max="9" width="15" customWidth="1"/>
    <col min="10" max="10" width="12.7109375" customWidth="1"/>
    <col min="11" max="11" width="2.7109375" customWidth="1"/>
    <col min="12" max="14" width="12.7109375" customWidth="1"/>
    <col min="15" max="15" width="2.7109375" customWidth="1"/>
    <col min="16" max="16" width="14" customWidth="1"/>
    <col min="17" max="17" width="13.7109375" customWidth="1"/>
    <col min="18" max="18" width="13.855468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8" x14ac:dyDescent="0.25">
      <c r="D2" t="s">
        <v>895</v>
      </c>
    </row>
    <row r="4" spans="2: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8" x14ac:dyDescent="0.25">
      <c r="B7" s="2" t="s">
        <v>822</v>
      </c>
      <c r="C7" s="2"/>
      <c r="D7" s="8">
        <f>ROUND('Forecast FY26'!D80,2)</f>
        <v>0</v>
      </c>
      <c r="E7" s="8">
        <f>ROUND('Forecast FY26'!E80,2)</f>
        <v>48809.98</v>
      </c>
      <c r="F7" s="8">
        <f>D7+E7</f>
        <v>48809.98</v>
      </c>
      <c r="H7" s="8">
        <f>ROUND('Forecast FY26'!H80,2)</f>
        <v>0</v>
      </c>
      <c r="I7" s="8">
        <f>ROUND('Forecast FY26'!I80,2)</f>
        <v>30072.74</v>
      </c>
      <c r="J7" s="8">
        <f>H7+I7</f>
        <v>30072.74</v>
      </c>
      <c r="L7" s="8">
        <f>ROUND('Forecast FY26'!L80,2)</f>
        <v>0</v>
      </c>
      <c r="M7" s="8">
        <f>ROUND('Forecast FY26'!M80,2)</f>
        <v>26825.02</v>
      </c>
      <c r="N7" s="8">
        <f>L7+M7</f>
        <v>26825.02</v>
      </c>
      <c r="P7" s="8">
        <f>ROUND('Forecast FY26'!P80,2)</f>
        <v>0</v>
      </c>
      <c r="Q7" s="8">
        <f>ROUND('Forecast FY26'!Q80,2)</f>
        <v>72492.639999999999</v>
      </c>
      <c r="R7" s="8">
        <f>P7+Q7</f>
        <v>72492.639999999999</v>
      </c>
      <c r="T7" s="8">
        <f>ROUND('Forecast FY26'!T80,2)</f>
        <v>0</v>
      </c>
      <c r="U7" s="8">
        <f>ROUND('Forecast FY26'!U80,2)</f>
        <v>0</v>
      </c>
      <c r="V7" s="8">
        <f>T7+U7</f>
        <v>0</v>
      </c>
      <c r="X7" s="8">
        <f>D7+H7+L7+P7+T7</f>
        <v>0</v>
      </c>
      <c r="Y7" s="8">
        <f>E7+I7+M7+Q7+U7</f>
        <v>178200.38</v>
      </c>
      <c r="Z7" s="8">
        <f>F7+J7+N7+R7+V7</f>
        <v>178200.38</v>
      </c>
    </row>
    <row r="9" spans="2:28" x14ac:dyDescent="0.25">
      <c r="B9" s="5" t="s">
        <v>11</v>
      </c>
      <c r="C9" s="5"/>
      <c r="T9" s="1"/>
      <c r="U9" s="1"/>
      <c r="V9" s="1"/>
    </row>
    <row r="10" spans="2:28" x14ac:dyDescent="0.25">
      <c r="B10" s="2" t="s">
        <v>896</v>
      </c>
      <c r="C10" s="2"/>
      <c r="D10" s="9">
        <v>0</v>
      </c>
      <c r="E10" s="9">
        <f>ROUND(900000/10,2)</f>
        <v>90000</v>
      </c>
      <c r="F10" s="8">
        <f t="shared" ref="F10:F15" si="0">D10+E10</f>
        <v>90000</v>
      </c>
      <c r="H10" s="9">
        <v>0</v>
      </c>
      <c r="I10" s="9">
        <f>ROUND(900000/10,2)</f>
        <v>90000</v>
      </c>
      <c r="J10" s="8">
        <f t="shared" ref="J10:J15" si="1">H10+I10</f>
        <v>90000</v>
      </c>
      <c r="L10" s="9">
        <v>0</v>
      </c>
      <c r="M10" s="9">
        <f>ROUND(900000/10,2)</f>
        <v>90000</v>
      </c>
      <c r="N10" s="8">
        <f t="shared" ref="N10:N15" si="2">L10+M10</f>
        <v>90000</v>
      </c>
      <c r="P10" s="9">
        <v>0</v>
      </c>
      <c r="Q10" s="9">
        <f>900000-E10-I10-M10</f>
        <v>630000</v>
      </c>
      <c r="R10" s="8">
        <f t="shared" ref="R10:R15" si="3">P10+Q10</f>
        <v>630000</v>
      </c>
      <c r="T10" s="1"/>
      <c r="U10" s="1"/>
      <c r="V10" s="1"/>
      <c r="X10" s="8">
        <f t="shared" ref="X10:Z15" si="4">D10+H10+L10+P10+T10</f>
        <v>0</v>
      </c>
      <c r="Y10" s="8">
        <f t="shared" si="4"/>
        <v>900000</v>
      </c>
      <c r="Z10" s="8">
        <f t="shared" si="4"/>
        <v>900000</v>
      </c>
    </row>
    <row r="11" spans="2:28"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8" x14ac:dyDescent="0.25">
      <c r="B12" s="2" t="s">
        <v>832</v>
      </c>
      <c r="C12" s="2"/>
      <c r="D12" s="9">
        <v>0</v>
      </c>
      <c r="E12" s="9">
        <f>ROUND(900000*0.25/10,2)</f>
        <v>22500</v>
      </c>
      <c r="F12" s="8">
        <f t="shared" si="0"/>
        <v>22500</v>
      </c>
      <c r="H12" s="9">
        <v>0</v>
      </c>
      <c r="I12" s="9">
        <f>ROUND(900000*0.25/10,2)</f>
        <v>22500</v>
      </c>
      <c r="J12" s="8">
        <f t="shared" si="1"/>
        <v>22500</v>
      </c>
      <c r="L12" s="9">
        <v>0</v>
      </c>
      <c r="M12" s="9">
        <f>ROUND(900000*0.25/10,2)</f>
        <v>22500</v>
      </c>
      <c r="N12" s="8">
        <f t="shared" si="2"/>
        <v>22500</v>
      </c>
      <c r="P12" s="9">
        <v>0</v>
      </c>
      <c r="Q12" s="9">
        <f>900000*0.25-E12-I12-M12</f>
        <v>157500</v>
      </c>
      <c r="R12" s="8">
        <f t="shared" si="3"/>
        <v>157500</v>
      </c>
      <c r="T12" s="1"/>
      <c r="U12" s="1"/>
      <c r="V12" s="1"/>
      <c r="X12" s="8">
        <f t="shared" si="4"/>
        <v>0</v>
      </c>
      <c r="Y12" s="8">
        <f t="shared" si="4"/>
        <v>225000</v>
      </c>
      <c r="Z12" s="8">
        <f t="shared" si="4"/>
        <v>225000</v>
      </c>
    </row>
    <row r="13" spans="2:28"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8" ht="15.75" thickBot="1" x14ac:dyDescent="0.3">
      <c r="B14" s="2" t="s">
        <v>824</v>
      </c>
      <c r="C14" s="2"/>
      <c r="D14" s="9">
        <v>0</v>
      </c>
      <c r="E14" s="9">
        <f>10000/10</f>
        <v>1000</v>
      </c>
      <c r="F14" s="15">
        <f t="shared" si="0"/>
        <v>1000</v>
      </c>
      <c r="H14" s="14">
        <v>0</v>
      </c>
      <c r="I14" s="9">
        <f>10000/10</f>
        <v>1000</v>
      </c>
      <c r="J14" s="15">
        <f t="shared" si="1"/>
        <v>1000</v>
      </c>
      <c r="L14" s="14">
        <v>0</v>
      </c>
      <c r="M14" s="9">
        <f>10000/10</f>
        <v>1000</v>
      </c>
      <c r="N14" s="15">
        <f t="shared" si="2"/>
        <v>1000</v>
      </c>
      <c r="P14" s="14">
        <v>0</v>
      </c>
      <c r="Q14" s="14">
        <f>10000-E14-I14-M14</f>
        <v>7000</v>
      </c>
      <c r="R14" s="15">
        <f t="shared" si="3"/>
        <v>7000</v>
      </c>
      <c r="T14" s="1"/>
      <c r="U14" s="1"/>
      <c r="V14" s="1"/>
      <c r="X14" s="15">
        <f t="shared" si="4"/>
        <v>0</v>
      </c>
      <c r="Y14" s="15">
        <f t="shared" si="4"/>
        <v>10000</v>
      </c>
      <c r="Z14" s="15">
        <f t="shared" si="4"/>
        <v>10000</v>
      </c>
    </row>
    <row r="15" spans="2:28" x14ac:dyDescent="0.25">
      <c r="B15" s="2" t="s">
        <v>28</v>
      </c>
      <c r="C15" s="2"/>
      <c r="D15" s="26">
        <f>SUM(D10:D14)</f>
        <v>0</v>
      </c>
      <c r="E15" s="26">
        <f>SUM(E10:E14)</f>
        <v>113500</v>
      </c>
      <c r="F15" s="26">
        <f t="shared" si="0"/>
        <v>113500</v>
      </c>
      <c r="H15" s="26">
        <f>SUM(H10:H14)</f>
        <v>0</v>
      </c>
      <c r="I15" s="26">
        <f>SUM(I10:I14)</f>
        <v>113500</v>
      </c>
      <c r="J15" s="26">
        <f t="shared" si="1"/>
        <v>113500</v>
      </c>
      <c r="L15" s="26">
        <f>SUM(L10:L14)</f>
        <v>0</v>
      </c>
      <c r="M15" s="26">
        <f>SUM(M10:M14)</f>
        <v>113500</v>
      </c>
      <c r="N15" s="26">
        <f t="shared" si="2"/>
        <v>113500</v>
      </c>
      <c r="P15" s="26">
        <f>SUM(P10:P14)</f>
        <v>0</v>
      </c>
      <c r="Q15" s="26">
        <f>SUM(Q10:Q14)</f>
        <v>794500</v>
      </c>
      <c r="R15" s="26">
        <f t="shared" si="3"/>
        <v>794500</v>
      </c>
      <c r="S15" s="1"/>
      <c r="T15" s="26">
        <f>SUM(T10:T14)</f>
        <v>0</v>
      </c>
      <c r="U15" s="26">
        <f>SUM(U10:U14)</f>
        <v>0</v>
      </c>
      <c r="V15" s="26">
        <f>T15+U15</f>
        <v>0</v>
      </c>
      <c r="X15" s="26">
        <f t="shared" si="4"/>
        <v>0</v>
      </c>
      <c r="Y15" s="26">
        <f t="shared" si="4"/>
        <v>1135000</v>
      </c>
      <c r="Z15" s="26">
        <f t="shared" si="4"/>
        <v>1135000</v>
      </c>
      <c r="AB15" s="1"/>
    </row>
    <row r="17" spans="2:26" x14ac:dyDescent="0.25">
      <c r="B17" s="5" t="s">
        <v>897</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-20000</v>
      </c>
      <c r="R18" s="8">
        <f>P18+Q18</f>
        <v>-20000</v>
      </c>
      <c r="T18" s="9">
        <v>20000</v>
      </c>
      <c r="U18" s="9">
        <v>0</v>
      </c>
      <c r="V18" s="8">
        <f>T18+U18</f>
        <v>20000</v>
      </c>
      <c r="X18" s="8">
        <f t="shared" ref="X18:Z21" si="5">D18+H18+L18+P18+T18</f>
        <v>20000</v>
      </c>
      <c r="Y18" s="8">
        <f t="shared" si="5"/>
        <v>-20000</v>
      </c>
      <c r="Z18" s="8">
        <f t="shared" si="5"/>
        <v>0</v>
      </c>
    </row>
    <row r="19" spans="2:26" x14ac:dyDescent="0.25">
      <c r="B19" s="2" t="s">
        <v>52</v>
      </c>
      <c r="C19" s="5"/>
      <c r="E19" s="1"/>
      <c r="F19" s="1"/>
      <c r="H19" s="1"/>
      <c r="I19" s="1"/>
      <c r="J19" s="1"/>
      <c r="M19" s="1"/>
      <c r="N19" s="1"/>
      <c r="P19" s="8">
        <v>0</v>
      </c>
      <c r="Q19" s="8">
        <f>-T19</f>
        <v>-12000</v>
      </c>
      <c r="R19" s="8">
        <f>P19+Q19</f>
        <v>-12000</v>
      </c>
      <c r="T19" s="9">
        <v>12000</v>
      </c>
      <c r="U19" s="9">
        <v>0</v>
      </c>
      <c r="V19" s="8">
        <f>T19+U19</f>
        <v>12000</v>
      </c>
      <c r="X19" s="8">
        <f t="shared" si="5"/>
        <v>12000</v>
      </c>
      <c r="Y19" s="8">
        <f t="shared" si="5"/>
        <v>-12000</v>
      </c>
      <c r="Z19" s="8">
        <f t="shared" si="5"/>
        <v>0</v>
      </c>
    </row>
    <row r="20" spans="2:26" ht="15.75" thickBot="1" x14ac:dyDescent="0.3">
      <c r="B20" s="2" t="s">
        <v>916</v>
      </c>
      <c r="C20" s="6" t="s">
        <v>647</v>
      </c>
      <c r="E20" s="1"/>
      <c r="F20" s="1"/>
      <c r="H20" s="1"/>
      <c r="I20" s="1"/>
      <c r="J20" s="1"/>
      <c r="M20" s="1"/>
      <c r="N20" s="1"/>
      <c r="P20" s="9">
        <f>200000+30000</f>
        <v>230000</v>
      </c>
      <c r="Q20" s="8">
        <f>-P20</f>
        <v>-230000</v>
      </c>
      <c r="R20" s="8">
        <f>P20+Q20</f>
        <v>0</v>
      </c>
      <c r="X20" s="8">
        <f t="shared" si="5"/>
        <v>230000</v>
      </c>
      <c r="Y20" s="8">
        <f t="shared" si="5"/>
        <v>-230000</v>
      </c>
      <c r="Z20" s="8">
        <f t="shared" si="5"/>
        <v>0</v>
      </c>
    </row>
    <row r="21" spans="2:26" x14ac:dyDescent="0.25">
      <c r="B21" s="2" t="s">
        <v>898</v>
      </c>
      <c r="C21" s="2"/>
      <c r="D21" s="26">
        <f>SUM(D18:D20)</f>
        <v>0</v>
      </c>
      <c r="E21" s="26">
        <f>SUM(E18:E20)</f>
        <v>0</v>
      </c>
      <c r="F21" s="26">
        <f>D21+E21</f>
        <v>0</v>
      </c>
      <c r="H21" s="26">
        <f>SUM(H18:H20)</f>
        <v>0</v>
      </c>
      <c r="I21" s="26">
        <f>SUM(I18:I20)</f>
        <v>0</v>
      </c>
      <c r="J21" s="26">
        <f>H21+I21</f>
        <v>0</v>
      </c>
      <c r="L21" s="26">
        <f>SUM(L18:L20)</f>
        <v>0</v>
      </c>
      <c r="M21" s="26">
        <f>SUM(M18:M20)</f>
        <v>0</v>
      </c>
      <c r="N21" s="26">
        <f>L21+M21</f>
        <v>0</v>
      </c>
      <c r="P21" s="26">
        <f>SUM(P18:P20)</f>
        <v>230000</v>
      </c>
      <c r="Q21" s="26">
        <f>SUM(Q18:Q20)</f>
        <v>-262000</v>
      </c>
      <c r="R21" s="26">
        <f>P21+Q21</f>
        <v>-32000</v>
      </c>
      <c r="S21" s="1"/>
      <c r="T21" s="26">
        <f>SUM(T18:T20)</f>
        <v>32000</v>
      </c>
      <c r="U21" s="26">
        <f>SUM(U18:U20)</f>
        <v>0</v>
      </c>
      <c r="V21" s="26">
        <f>T21+U21</f>
        <v>32000</v>
      </c>
      <c r="X21" s="26">
        <f>D21+H21+L21+P21+T21</f>
        <v>262000</v>
      </c>
      <c r="Y21" s="26">
        <f t="shared" si="5"/>
        <v>-262000</v>
      </c>
      <c r="Z21" s="26">
        <f t="shared" si="5"/>
        <v>0</v>
      </c>
    </row>
    <row r="22" spans="2:26" x14ac:dyDescent="0.25">
      <c r="H22" s="1"/>
      <c r="I22" s="1"/>
      <c r="J22" s="1"/>
      <c r="L22" s="1"/>
      <c r="M22" s="1"/>
      <c r="N22" s="1"/>
      <c r="P22" s="1"/>
      <c r="R22" s="1"/>
    </row>
    <row r="23" spans="2:26" x14ac:dyDescent="0.25">
      <c r="B23" s="5" t="s">
        <v>899</v>
      </c>
      <c r="H23" s="1"/>
      <c r="I23" s="1"/>
      <c r="J23" s="1"/>
      <c r="L23" s="1"/>
      <c r="M23" s="1"/>
      <c r="N23" s="1"/>
      <c r="Q23" s="1"/>
      <c r="R23" s="1"/>
    </row>
    <row r="24" spans="2:26" ht="15.75" thickBot="1" x14ac:dyDescent="0.3">
      <c r="B24" s="2" t="s">
        <v>845</v>
      </c>
      <c r="H24" s="1"/>
      <c r="I24" s="1"/>
      <c r="J24" s="1"/>
      <c r="L24" s="1"/>
      <c r="M24" s="1"/>
      <c r="N24" s="1"/>
      <c r="X24" s="8">
        <f t="shared" ref="X24:Z25" si="6">D24+H24+L24+P24+T24</f>
        <v>0</v>
      </c>
      <c r="Y24" s="8">
        <f t="shared" si="6"/>
        <v>0</v>
      </c>
      <c r="Z24" s="8">
        <f t="shared" si="6"/>
        <v>0</v>
      </c>
    </row>
    <row r="25" spans="2:26" x14ac:dyDescent="0.25">
      <c r="B25" s="2" t="s">
        <v>900</v>
      </c>
      <c r="D25" s="26">
        <f>SUM(D24:D24)</f>
        <v>0</v>
      </c>
      <c r="E25" s="26">
        <f>SUM(E24:E24)</f>
        <v>0</v>
      </c>
      <c r="F25" s="26">
        <f>D25+E25</f>
        <v>0</v>
      </c>
      <c r="H25" s="26">
        <f>SUM(H24:H24)</f>
        <v>0</v>
      </c>
      <c r="I25" s="26">
        <f>SUM(I24:I24)</f>
        <v>0</v>
      </c>
      <c r="J25" s="26">
        <f>H25+I25</f>
        <v>0</v>
      </c>
      <c r="L25" s="26">
        <f>SUM(L24:L24)</f>
        <v>0</v>
      </c>
      <c r="M25" s="26">
        <f>SUM(M24:M24)</f>
        <v>0</v>
      </c>
      <c r="N25" s="26">
        <f>L25+M25</f>
        <v>0</v>
      </c>
      <c r="P25" s="26">
        <f>SUM(P24:P24)</f>
        <v>0</v>
      </c>
      <c r="Q25" s="26">
        <f>SUM(Q24:Q24)</f>
        <v>0</v>
      </c>
      <c r="R25" s="26">
        <f>P25+Q25</f>
        <v>0</v>
      </c>
      <c r="S25" s="1"/>
      <c r="T25" s="26">
        <f>SUM(T24:T24)</f>
        <v>0</v>
      </c>
      <c r="U25" s="26">
        <f>SUM(U24:U24)</f>
        <v>0</v>
      </c>
      <c r="V25" s="26">
        <f>T25+U25</f>
        <v>0</v>
      </c>
      <c r="X25" s="26">
        <f t="shared" si="6"/>
        <v>0</v>
      </c>
      <c r="Y25" s="26">
        <f t="shared" si="6"/>
        <v>0</v>
      </c>
      <c r="Z25" s="26">
        <f t="shared" si="6"/>
        <v>0</v>
      </c>
    </row>
    <row r="26" spans="2:26" x14ac:dyDescent="0.25">
      <c r="H26" s="1"/>
      <c r="I26" s="1"/>
      <c r="J26" s="1"/>
      <c r="L26" s="1"/>
      <c r="M26" s="1"/>
      <c r="N26" s="1"/>
      <c r="P26" s="1"/>
      <c r="R26" s="1"/>
    </row>
    <row r="27" spans="2:26" x14ac:dyDescent="0.25">
      <c r="B27" s="5" t="s">
        <v>8</v>
      </c>
      <c r="H27" s="1"/>
      <c r="I27" s="1"/>
      <c r="J27" s="1"/>
      <c r="L27" s="1"/>
      <c r="M27" s="1"/>
      <c r="N27" s="1"/>
      <c r="P27" s="1"/>
      <c r="Q27" s="1"/>
    </row>
    <row r="28" spans="2:26" x14ac:dyDescent="0.25">
      <c r="B28" s="2" t="s">
        <v>7</v>
      </c>
      <c r="D28" s="1"/>
      <c r="E28" s="1"/>
      <c r="F28" s="1"/>
      <c r="H28" s="1"/>
      <c r="I28" s="1"/>
      <c r="J28" s="1"/>
      <c r="T28" s="9">
        <v>-20000</v>
      </c>
      <c r="U28" s="9">
        <v>0</v>
      </c>
      <c r="V28" s="8">
        <f>T28+U28</f>
        <v>-20000</v>
      </c>
      <c r="X28" s="8">
        <f t="shared" ref="X28:Y30" si="7">D28+H28+L28+P28+T28</f>
        <v>-20000</v>
      </c>
      <c r="Y28" s="8">
        <f t="shared" si="7"/>
        <v>0</v>
      </c>
      <c r="Z28" s="8">
        <f t="shared" ref="Z28:Z30" si="8">X28+Y28</f>
        <v>-20000</v>
      </c>
    </row>
    <row r="29" spans="2:26" x14ac:dyDescent="0.25">
      <c r="B29" s="2" t="s">
        <v>52</v>
      </c>
      <c r="D29" s="1"/>
      <c r="E29" s="1"/>
      <c r="F29" s="1"/>
      <c r="H29" s="1"/>
      <c r="I29" s="1"/>
      <c r="J29" s="1"/>
      <c r="T29" s="9">
        <v>-12000</v>
      </c>
      <c r="U29" s="9">
        <v>0</v>
      </c>
      <c r="V29" s="8">
        <f>T29+U29</f>
        <v>-12000</v>
      </c>
      <c r="X29" s="8">
        <f t="shared" si="7"/>
        <v>-12000</v>
      </c>
      <c r="Y29" s="8">
        <f t="shared" si="7"/>
        <v>0</v>
      </c>
      <c r="Z29" s="8">
        <f t="shared" si="8"/>
        <v>-12000</v>
      </c>
    </row>
    <row r="30" spans="2:26" ht="15.75" thickBot="1" x14ac:dyDescent="0.3">
      <c r="B30" s="2" t="s">
        <v>916</v>
      </c>
      <c r="C30" s="6" t="s">
        <v>647</v>
      </c>
      <c r="D30" s="1"/>
      <c r="E30" s="1"/>
      <c r="F30" s="1"/>
      <c r="H30" s="1"/>
      <c r="I30" s="1"/>
      <c r="J30" s="1"/>
      <c r="P30" s="9">
        <v>-230000</v>
      </c>
      <c r="Q30" s="9">
        <v>0</v>
      </c>
      <c r="R30" s="8">
        <f>P30+Q30</f>
        <v>-230000</v>
      </c>
      <c r="X30" s="8">
        <f t="shared" si="7"/>
        <v>-230000</v>
      </c>
      <c r="Y30" s="8">
        <f t="shared" si="7"/>
        <v>0</v>
      </c>
      <c r="Z30" s="8">
        <f t="shared" si="8"/>
        <v>-230000</v>
      </c>
    </row>
    <row r="31" spans="2:26" x14ac:dyDescent="0.25">
      <c r="B31" s="2" t="s">
        <v>31</v>
      </c>
      <c r="C31" s="2"/>
      <c r="D31" s="26">
        <f>SUM(D28:D30)</f>
        <v>0</v>
      </c>
      <c r="E31" s="26">
        <f>SUM(E28:E30)</f>
        <v>0</v>
      </c>
      <c r="F31" s="26">
        <f>D31+E31</f>
        <v>0</v>
      </c>
      <c r="H31" s="26">
        <f>SUM(H28:H30)</f>
        <v>0</v>
      </c>
      <c r="I31" s="26">
        <f>SUM(I28:I30)</f>
        <v>0</v>
      </c>
      <c r="J31" s="26">
        <f>H31+I31</f>
        <v>0</v>
      </c>
      <c r="L31" s="26">
        <f>SUM(L28:L30)</f>
        <v>0</v>
      </c>
      <c r="M31" s="26">
        <f>SUM(M28:M30)</f>
        <v>0</v>
      </c>
      <c r="N31" s="26">
        <f>L31+M31</f>
        <v>0</v>
      </c>
      <c r="P31" s="26">
        <f>SUM(P28:P30)</f>
        <v>-230000</v>
      </c>
      <c r="Q31" s="26">
        <f>SUM(Q28:Q30)</f>
        <v>0</v>
      </c>
      <c r="R31" s="26">
        <f>P31+Q31</f>
        <v>-230000</v>
      </c>
      <c r="S31" s="1"/>
      <c r="T31" s="26">
        <f>SUM(T28:T30)</f>
        <v>-32000</v>
      </c>
      <c r="U31" s="26">
        <f>SUM(U28:U30)</f>
        <v>0</v>
      </c>
      <c r="V31" s="26">
        <f>T31+U31</f>
        <v>-32000</v>
      </c>
      <c r="X31" s="26">
        <f>SUM(X28:X30)</f>
        <v>-262000</v>
      </c>
      <c r="Y31" s="26">
        <f>SUM(Y28:Y30)</f>
        <v>0</v>
      </c>
      <c r="Z31" s="26">
        <f>X31+Y31</f>
        <v>-262000</v>
      </c>
    </row>
    <row r="32" spans="2:26" x14ac:dyDescent="0.25">
      <c r="D32" s="1"/>
      <c r="E32" s="1"/>
      <c r="F32" s="1"/>
      <c r="H32" s="1"/>
      <c r="I32" s="1"/>
      <c r="J32" s="1"/>
      <c r="L32" s="1"/>
      <c r="M32" s="1"/>
      <c r="N32" s="1"/>
      <c r="P32" s="1"/>
      <c r="R32" s="1"/>
      <c r="U32" s="1"/>
      <c r="V32" s="1"/>
      <c r="X32" s="1"/>
    </row>
    <row r="33" spans="1:26" x14ac:dyDescent="0.25">
      <c r="B33" s="5" t="s">
        <v>10</v>
      </c>
      <c r="C33" s="5"/>
      <c r="D33" s="1"/>
      <c r="E33" s="1"/>
      <c r="F33" s="1"/>
      <c r="L33" s="1"/>
      <c r="M33" s="1"/>
      <c r="N33" s="1"/>
    </row>
    <row r="34" spans="1:26" x14ac:dyDescent="0.25">
      <c r="B34" s="2" t="s">
        <v>7</v>
      </c>
      <c r="C34" s="2"/>
      <c r="T34" s="9">
        <v>0</v>
      </c>
      <c r="U34" s="8">
        <f>-T34</f>
        <v>0</v>
      </c>
      <c r="V34" s="8">
        <f>T34+U34</f>
        <v>0</v>
      </c>
      <c r="X34" s="8">
        <f t="shared" ref="X34:Y36" si="9">D34+H34+L34+P34+T34</f>
        <v>0</v>
      </c>
      <c r="Y34" s="8">
        <f t="shared" si="9"/>
        <v>0</v>
      </c>
      <c r="Z34" s="8">
        <f>X34+Y34</f>
        <v>0</v>
      </c>
    </row>
    <row r="35" spans="1:26" x14ac:dyDescent="0.25">
      <c r="B35" s="2" t="s">
        <v>52</v>
      </c>
      <c r="C35" s="2"/>
      <c r="T35" s="9">
        <v>0</v>
      </c>
      <c r="U35" s="8">
        <f>-T35</f>
        <v>0</v>
      </c>
      <c r="V35" s="8">
        <f>T35+U35</f>
        <v>0</v>
      </c>
      <c r="X35" s="8">
        <f t="shared" si="9"/>
        <v>0</v>
      </c>
      <c r="Y35" s="8">
        <f t="shared" si="9"/>
        <v>0</v>
      </c>
      <c r="Z35" s="8">
        <f>X35+Y35</f>
        <v>0</v>
      </c>
    </row>
    <row r="36" spans="1:26" ht="15.75" thickBot="1" x14ac:dyDescent="0.3">
      <c r="B36" s="2" t="s">
        <v>916</v>
      </c>
      <c r="C36" s="6" t="s">
        <v>647</v>
      </c>
      <c r="P36" s="9">
        <v>0</v>
      </c>
      <c r="Q36" s="8">
        <f>-P36</f>
        <v>0</v>
      </c>
      <c r="R36" s="8">
        <f>P36+Q36</f>
        <v>0</v>
      </c>
      <c r="T36" s="9">
        <v>0</v>
      </c>
      <c r="U36" s="8">
        <f>-T36</f>
        <v>0</v>
      </c>
      <c r="V36" s="8">
        <f>T36+U36</f>
        <v>0</v>
      </c>
      <c r="X36" s="8">
        <f t="shared" si="9"/>
        <v>0</v>
      </c>
      <c r="Y36" s="8">
        <f t="shared" si="9"/>
        <v>0</v>
      </c>
      <c r="Z36" s="8">
        <f>X36+Y36</f>
        <v>0</v>
      </c>
    </row>
    <row r="37" spans="1:26" x14ac:dyDescent="0.25">
      <c r="B37" s="2" t="s">
        <v>39</v>
      </c>
      <c r="C37" s="2"/>
      <c r="D37" s="26">
        <f>SUM(D34:D36)</f>
        <v>0</v>
      </c>
      <c r="E37" s="26">
        <f>SUM(E34:E36)</f>
        <v>0</v>
      </c>
      <c r="F37" s="26">
        <f>D37+E37</f>
        <v>0</v>
      </c>
      <c r="H37" s="26">
        <f>SUM(H34:H36)</f>
        <v>0</v>
      </c>
      <c r="I37" s="26">
        <f>SUM(I34:I36)</f>
        <v>0</v>
      </c>
      <c r="J37" s="26">
        <f>H37+I37</f>
        <v>0</v>
      </c>
      <c r="L37" s="26">
        <f>SUM(L34:L36)</f>
        <v>0</v>
      </c>
      <c r="M37" s="26">
        <f>SUM(M34:M36)</f>
        <v>0</v>
      </c>
      <c r="N37" s="26">
        <f>L37+M37</f>
        <v>0</v>
      </c>
      <c r="P37" s="26">
        <f>SUM(P34:P36)</f>
        <v>0</v>
      </c>
      <c r="Q37" s="26">
        <f>SUM(Q34:Q36)</f>
        <v>0</v>
      </c>
      <c r="R37" s="26">
        <f>P37+Q37</f>
        <v>0</v>
      </c>
      <c r="S37" s="1"/>
      <c r="T37" s="26">
        <f>SUM(T34:T36)</f>
        <v>0</v>
      </c>
      <c r="U37" s="26">
        <f>SUM(U34:U36)</f>
        <v>0</v>
      </c>
      <c r="V37" s="26">
        <f>T37+U37</f>
        <v>0</v>
      </c>
      <c r="X37" s="26">
        <f>SUM(X34:X36)</f>
        <v>0</v>
      </c>
      <c r="Y37" s="26">
        <f>SUM(Y34:Y36)</f>
        <v>0</v>
      </c>
      <c r="Z37" s="26">
        <f>X37+Y37</f>
        <v>0</v>
      </c>
    </row>
    <row r="38" spans="1:26" x14ac:dyDescent="0.25">
      <c r="L38" s="1"/>
      <c r="M38" s="1"/>
      <c r="N38" s="1"/>
      <c r="P38" s="1"/>
      <c r="R38" s="1"/>
    </row>
    <row r="39" spans="1:26" x14ac:dyDescent="0.25">
      <c r="B39" s="2" t="s">
        <v>901</v>
      </c>
      <c r="C39" s="2"/>
      <c r="D39" s="8">
        <f>D7+D15+D21+D25+D31+D37</f>
        <v>0</v>
      </c>
      <c r="E39" s="8">
        <f>E7+E15+E21+E25+E31+E37</f>
        <v>162309.98000000001</v>
      </c>
      <c r="F39" s="8">
        <f>D39+E39</f>
        <v>162309.98000000001</v>
      </c>
      <c r="H39" s="8">
        <f>H7+H15+H21+H25+H31+H37</f>
        <v>0</v>
      </c>
      <c r="I39" s="8">
        <f>I7+I15+I21+I25+I31+I37</f>
        <v>143572.74</v>
      </c>
      <c r="J39" s="8">
        <f>H39+I39</f>
        <v>143572.74</v>
      </c>
      <c r="L39" s="8">
        <f>L7+L15+L21+L25+L31+L37</f>
        <v>0</v>
      </c>
      <c r="M39" s="8">
        <f>M7+M15+M21+M25+M31+M37</f>
        <v>140325.01999999999</v>
      </c>
      <c r="N39" s="8">
        <f>L39+M39</f>
        <v>140325.01999999999</v>
      </c>
      <c r="P39" s="8">
        <f>P7+P15+P21+P25+P31+P37</f>
        <v>0</v>
      </c>
      <c r="Q39" s="8">
        <f>Q7+Q15+Q21+Q25+Q31+Q37</f>
        <v>604992.64</v>
      </c>
      <c r="R39" s="8">
        <f>P39+Q39</f>
        <v>604992.64</v>
      </c>
      <c r="T39" s="8">
        <f>T7+T15+T21+T25+T31+T37</f>
        <v>0</v>
      </c>
      <c r="U39" s="8">
        <f>U7+U15+U21+U25+U31+U37</f>
        <v>0</v>
      </c>
      <c r="V39" s="8">
        <f>T39+U39</f>
        <v>0</v>
      </c>
      <c r="X39" s="8">
        <f>D39+H39+L39+P39+T39</f>
        <v>0</v>
      </c>
      <c r="Y39" s="8">
        <f>E39+I39+M39+Q39+U39</f>
        <v>1051200.3799999999</v>
      </c>
      <c r="Z39" s="8">
        <f>X39+Y39</f>
        <v>1051200.3799999999</v>
      </c>
    </row>
    <row r="41" spans="1:26" x14ac:dyDescent="0.25">
      <c r="B41" s="5" t="s">
        <v>902</v>
      </c>
      <c r="C41" s="5"/>
      <c r="L41" s="1"/>
      <c r="M41" s="1"/>
      <c r="N41" s="1"/>
      <c r="P41" s="1"/>
    </row>
    <row r="42" spans="1:26" ht="15.75" thickBot="1" x14ac:dyDescent="0.3">
      <c r="B42" s="2" t="s">
        <v>244</v>
      </c>
      <c r="C42" s="2"/>
      <c r="D42" s="14">
        <v>0</v>
      </c>
      <c r="E42" s="14">
        <v>0</v>
      </c>
      <c r="F42" s="8">
        <f>D42+E42</f>
        <v>0</v>
      </c>
      <c r="H42" s="14">
        <v>0</v>
      </c>
      <c r="I42" s="14">
        <v>0</v>
      </c>
      <c r="J42" s="12">
        <f>H42+I42</f>
        <v>0</v>
      </c>
      <c r="L42" s="14">
        <v>0</v>
      </c>
      <c r="M42" s="14">
        <v>0</v>
      </c>
      <c r="N42" s="8">
        <f>L42+M42</f>
        <v>0</v>
      </c>
      <c r="P42" s="14">
        <v>0</v>
      </c>
      <c r="Q42" s="14">
        <v>0</v>
      </c>
      <c r="R42" s="8">
        <f>P42+Q42</f>
        <v>0</v>
      </c>
      <c r="T42" s="14">
        <v>0</v>
      </c>
      <c r="U42" s="14">
        <v>0</v>
      </c>
      <c r="V42" s="8">
        <f>T42+U42</f>
        <v>0</v>
      </c>
      <c r="X42" s="8">
        <f>D42+H42+L42+P42+T42</f>
        <v>0</v>
      </c>
      <c r="Y42" s="8">
        <f>E42+I42+M42+Q42+U42</f>
        <v>0</v>
      </c>
      <c r="Z42" s="8">
        <f>X42+Y42</f>
        <v>0</v>
      </c>
    </row>
    <row r="43" spans="1:26" x14ac:dyDescent="0.25">
      <c r="B43" s="2" t="s">
        <v>903</v>
      </c>
      <c r="C43" s="2"/>
      <c r="D43" s="26">
        <f>SUM(D42:D42)</f>
        <v>0</v>
      </c>
      <c r="E43" s="26">
        <f>SUM(E42:E42)</f>
        <v>0</v>
      </c>
      <c r="F43" s="26">
        <f>D43+E43</f>
        <v>0</v>
      </c>
      <c r="H43" s="26">
        <f>SUM(H42:H42)</f>
        <v>0</v>
      </c>
      <c r="I43" s="26">
        <f>SUM(I42:I42)</f>
        <v>0</v>
      </c>
      <c r="J43" s="26">
        <f>H43+I43</f>
        <v>0</v>
      </c>
      <c r="L43" s="26">
        <f>SUM(L42:L42)</f>
        <v>0</v>
      </c>
      <c r="M43" s="26">
        <f>SUM(M42:M42)</f>
        <v>0</v>
      </c>
      <c r="N43" s="26">
        <f>L43+M43</f>
        <v>0</v>
      </c>
      <c r="P43" s="26">
        <f>SUM(P42:P42)</f>
        <v>0</v>
      </c>
      <c r="Q43" s="26">
        <f>SUM(Q42:Q42)</f>
        <v>0</v>
      </c>
      <c r="R43" s="26">
        <f>P43+Q43</f>
        <v>0</v>
      </c>
      <c r="S43" s="1"/>
      <c r="T43" s="26">
        <f>SUM(T42:T42)</f>
        <v>0</v>
      </c>
      <c r="U43" s="26">
        <f>SUM(U42:U42)</f>
        <v>0</v>
      </c>
      <c r="V43" s="26">
        <f>T43+U43</f>
        <v>0</v>
      </c>
      <c r="X43" s="26">
        <f>D43+H43+L43+P43+T43</f>
        <v>0</v>
      </c>
      <c r="Y43" s="26">
        <f>E43+I43+M43+Q43+U43</f>
        <v>0</v>
      </c>
      <c r="Z43" s="26">
        <f>X43+Y43</f>
        <v>0</v>
      </c>
    </row>
    <row r="44" spans="1:26" x14ac:dyDescent="0.25">
      <c r="B44" s="2"/>
      <c r="C44" s="2"/>
    </row>
    <row r="45" spans="1:26" ht="15.75" thickBot="1" x14ac:dyDescent="0.3">
      <c r="B45" s="2" t="s">
        <v>904</v>
      </c>
      <c r="C45" s="2"/>
      <c r="D45" s="17">
        <f>ROUND(D39+D43,2)</f>
        <v>0</v>
      </c>
      <c r="E45" s="17">
        <f>ROUND(E39+E43,2)</f>
        <v>162309.98000000001</v>
      </c>
      <c r="F45" s="17">
        <f>D45+E45</f>
        <v>162309.98000000001</v>
      </c>
      <c r="H45" s="17">
        <f>ROUND(H39+H43,2)</f>
        <v>0</v>
      </c>
      <c r="I45" s="17">
        <f>ROUND(I39+I43,2)</f>
        <v>143572.74</v>
      </c>
      <c r="J45" s="17">
        <f>H45+I45</f>
        <v>143572.74</v>
      </c>
      <c r="L45" s="17">
        <f>ROUND(L39+L43,2)</f>
        <v>0</v>
      </c>
      <c r="M45" s="17">
        <f>ROUND(M39+M43,2)</f>
        <v>140325.01999999999</v>
      </c>
      <c r="N45" s="17">
        <f>L45+M45</f>
        <v>140325.01999999999</v>
      </c>
      <c r="P45" s="17">
        <f>ROUND(P39+P43,2)</f>
        <v>0</v>
      </c>
      <c r="Q45" s="17">
        <f>ROUND(Q39+Q43,2)</f>
        <v>604992.64</v>
      </c>
      <c r="R45" s="17">
        <f>P45+Q45</f>
        <v>604992.64</v>
      </c>
      <c r="T45" s="17">
        <f>ROUND(T39+T43,2)</f>
        <v>0</v>
      </c>
      <c r="U45" s="17">
        <f>ROUND(U39+U43,2)</f>
        <v>0</v>
      </c>
      <c r="V45" s="17">
        <f>T45+U45</f>
        <v>0</v>
      </c>
      <c r="X45" s="17">
        <f>D45+H45+L45+P45+T45</f>
        <v>0</v>
      </c>
      <c r="Y45" s="17">
        <f>E45+I45+M45+Q45+U45</f>
        <v>1051200.3799999999</v>
      </c>
      <c r="Z45" s="17">
        <f>X45+Y45</f>
        <v>1051200.3799999999</v>
      </c>
    </row>
    <row r="46" spans="1:26" ht="15.75" thickTop="1" x14ac:dyDescent="0.25">
      <c r="B46" s="2"/>
      <c r="C46" s="2"/>
    </row>
    <row r="47" spans="1:26" x14ac:dyDescent="0.25">
      <c r="B47" s="2"/>
      <c r="C47" s="2"/>
      <c r="Q47" s="1"/>
    </row>
    <row r="48" spans="1:26" x14ac:dyDescent="0.25">
      <c r="A48" s="35" t="s">
        <v>54</v>
      </c>
      <c r="B48" s="35"/>
      <c r="C48" s="19"/>
    </row>
    <row r="50" spans="2:26" x14ac:dyDescent="0.25">
      <c r="B50" s="5" t="s">
        <v>905</v>
      </c>
      <c r="C50" s="5"/>
      <c r="T50" s="1"/>
    </row>
    <row r="51" spans="2:26" x14ac:dyDescent="0.25">
      <c r="B51" s="2" t="s">
        <v>906</v>
      </c>
      <c r="C51" s="2"/>
      <c r="D51" s="9">
        <v>0</v>
      </c>
      <c r="E51" s="9">
        <f>ROUND(900000/10,2)</f>
        <v>90000</v>
      </c>
      <c r="F51" s="8">
        <f>D51+E51</f>
        <v>90000</v>
      </c>
      <c r="H51" s="9">
        <v>0</v>
      </c>
      <c r="I51" s="9">
        <f>ROUND(900000/10,2)</f>
        <v>90000</v>
      </c>
      <c r="J51" s="8">
        <f>H51+I51</f>
        <v>90000</v>
      </c>
      <c r="L51" s="9">
        <v>0</v>
      </c>
      <c r="M51" s="9">
        <f>ROUND(900000/10,2)</f>
        <v>90000</v>
      </c>
      <c r="N51" s="8">
        <f>L51+M51</f>
        <v>90000</v>
      </c>
      <c r="P51" s="9">
        <v>0</v>
      </c>
      <c r="Q51" s="9">
        <f>900000-E51-I51-M51</f>
        <v>630000</v>
      </c>
      <c r="R51" s="8">
        <f>P51+Q51</f>
        <v>630000</v>
      </c>
      <c r="T51" s="1"/>
      <c r="U51" s="1"/>
      <c r="V51" s="1"/>
      <c r="X51" s="8">
        <f t="shared" ref="X51:Z54" si="10">D51+H51+L51+P51+T51</f>
        <v>0</v>
      </c>
      <c r="Y51" s="8">
        <f t="shared" si="10"/>
        <v>900000</v>
      </c>
      <c r="Z51" s="8">
        <f t="shared" si="10"/>
        <v>900000</v>
      </c>
    </row>
    <row r="52" spans="2:26" x14ac:dyDescent="0.25">
      <c r="B52" s="2" t="s">
        <v>907</v>
      </c>
      <c r="C52" s="2"/>
      <c r="D52" s="9">
        <v>0</v>
      </c>
      <c r="E52" s="9">
        <f>ROUND(900000*0.25/10,2)</f>
        <v>22500</v>
      </c>
      <c r="F52" s="8">
        <f>D52+E52</f>
        <v>22500</v>
      </c>
      <c r="H52" s="9">
        <v>0</v>
      </c>
      <c r="I52" s="9">
        <f>ROUND(900000*0.25/10,2)</f>
        <v>22500</v>
      </c>
      <c r="J52" s="8">
        <f>H52+I52</f>
        <v>22500</v>
      </c>
      <c r="L52" s="9">
        <v>0</v>
      </c>
      <c r="M52" s="9">
        <f>ROUND(900000*0.25/10,2)</f>
        <v>22500</v>
      </c>
      <c r="N52" s="8">
        <f>L52+M52</f>
        <v>22500</v>
      </c>
      <c r="P52" s="9">
        <v>0</v>
      </c>
      <c r="Q52" s="9">
        <f>900000*0.25-E52-I52-M52</f>
        <v>157500</v>
      </c>
      <c r="R52" s="8">
        <f>P52+Q52</f>
        <v>157500</v>
      </c>
      <c r="X52" s="8">
        <f t="shared" si="10"/>
        <v>0</v>
      </c>
      <c r="Y52" s="8">
        <f t="shared" si="10"/>
        <v>225000</v>
      </c>
      <c r="Z52" s="8">
        <f t="shared" si="10"/>
        <v>225000</v>
      </c>
    </row>
    <row r="53" spans="2:26" ht="15.75" thickBot="1" x14ac:dyDescent="0.3">
      <c r="B53" s="2" t="s">
        <v>908</v>
      </c>
      <c r="C53" s="2"/>
      <c r="D53" s="14">
        <v>0</v>
      </c>
      <c r="E53" s="9">
        <f>10000/10</f>
        <v>1000</v>
      </c>
      <c r="F53" s="15">
        <f>D53+E53</f>
        <v>1000</v>
      </c>
      <c r="H53" s="14">
        <v>0</v>
      </c>
      <c r="I53" s="9">
        <f>10000/10</f>
        <v>1000</v>
      </c>
      <c r="J53" s="15">
        <f>H53+I53</f>
        <v>1000</v>
      </c>
      <c r="L53" s="14">
        <v>0</v>
      </c>
      <c r="M53" s="9">
        <f>10000/10</f>
        <v>1000</v>
      </c>
      <c r="N53" s="15">
        <f>L53+M53</f>
        <v>1000</v>
      </c>
      <c r="P53" s="14">
        <v>0</v>
      </c>
      <c r="Q53" s="14">
        <f>10000-E53-I53-M53</f>
        <v>7000</v>
      </c>
      <c r="R53" s="15">
        <f>P53+Q53</f>
        <v>7000</v>
      </c>
      <c r="X53" s="15">
        <f t="shared" si="10"/>
        <v>0</v>
      </c>
      <c r="Y53" s="15">
        <f t="shared" si="10"/>
        <v>10000</v>
      </c>
      <c r="Z53" s="15">
        <f t="shared" si="10"/>
        <v>10000</v>
      </c>
    </row>
    <row r="54" spans="2:26" x14ac:dyDescent="0.25">
      <c r="B54" s="2" t="s">
        <v>909</v>
      </c>
      <c r="C54" s="2"/>
      <c r="D54" s="26">
        <f>SUM(D51:D53)</f>
        <v>0</v>
      </c>
      <c r="E54" s="26">
        <f>SUM(E51:E53)</f>
        <v>113500</v>
      </c>
      <c r="F54" s="26">
        <f>D54+E54</f>
        <v>113500</v>
      </c>
      <c r="H54" s="26">
        <f>SUM(H51:H53)</f>
        <v>0</v>
      </c>
      <c r="I54" s="26">
        <f>SUM(I51:I53)</f>
        <v>113500</v>
      </c>
      <c r="J54" s="26">
        <f>H54+I54</f>
        <v>113500</v>
      </c>
      <c r="L54" s="26">
        <f>SUM(L51:L53)</f>
        <v>0</v>
      </c>
      <c r="M54" s="26">
        <f>SUM(M51:M53)</f>
        <v>113500</v>
      </c>
      <c r="N54" s="26">
        <f>L54+M54</f>
        <v>113500</v>
      </c>
      <c r="P54" s="26">
        <f>SUM(P51:P53)</f>
        <v>0</v>
      </c>
      <c r="Q54" s="26">
        <f>SUM(Q51:Q53)</f>
        <v>794500</v>
      </c>
      <c r="R54" s="26">
        <f>P54+Q54</f>
        <v>794500</v>
      </c>
      <c r="S54" s="1"/>
      <c r="T54" s="26">
        <f>SUM(T51:T53)</f>
        <v>0</v>
      </c>
      <c r="U54" s="26">
        <f>SUM(U51:U53)</f>
        <v>0</v>
      </c>
      <c r="V54" s="26">
        <f>T54+U54</f>
        <v>0</v>
      </c>
      <c r="X54" s="26">
        <f t="shared" si="10"/>
        <v>0</v>
      </c>
      <c r="Y54" s="26">
        <f t="shared" si="10"/>
        <v>1135000</v>
      </c>
      <c r="Z54" s="26">
        <f t="shared" si="10"/>
        <v>1135000</v>
      </c>
    </row>
    <row r="55" spans="2:26" x14ac:dyDescent="0.25">
      <c r="B55" s="2"/>
      <c r="C55" s="2"/>
    </row>
    <row r="56" spans="2:26" x14ac:dyDescent="0.25">
      <c r="B56" s="5" t="s">
        <v>910</v>
      </c>
      <c r="C56" s="5"/>
      <c r="T56" s="1"/>
    </row>
    <row r="57" spans="2:26" ht="15.75" thickBot="1" x14ac:dyDescent="0.3">
      <c r="B57" s="2" t="s">
        <v>86</v>
      </c>
      <c r="C57" s="2"/>
      <c r="H57" s="1"/>
      <c r="I57" s="1"/>
      <c r="J57" s="1"/>
      <c r="L57" s="1"/>
      <c r="M57" s="1"/>
      <c r="P57" s="9">
        <v>0</v>
      </c>
      <c r="Q57" s="8">
        <v>-29000</v>
      </c>
      <c r="R57" s="8">
        <f>P57+Q57</f>
        <v>-29000</v>
      </c>
      <c r="T57" s="9">
        <f>-Q57</f>
        <v>29000</v>
      </c>
      <c r="U57" s="9">
        <v>0</v>
      </c>
      <c r="V57" s="8">
        <f>T57+U57</f>
        <v>29000</v>
      </c>
      <c r="X57" s="8">
        <f t="shared" ref="X57:Z58" si="11">D57+H57+L57+P57+T57</f>
        <v>29000</v>
      </c>
      <c r="Y57" s="8">
        <f t="shared" si="11"/>
        <v>-29000</v>
      </c>
      <c r="Z57" s="8">
        <f t="shared" si="11"/>
        <v>0</v>
      </c>
    </row>
    <row r="58" spans="2:26" x14ac:dyDescent="0.25">
      <c r="B58" s="2" t="s">
        <v>911</v>
      </c>
      <c r="C58" s="2"/>
      <c r="D58" s="26">
        <f>SUM(D57:D57)</f>
        <v>0</v>
      </c>
      <c r="E58" s="26">
        <f>SUM(E57:E57)</f>
        <v>0</v>
      </c>
      <c r="F58" s="26">
        <f>D58+E58</f>
        <v>0</v>
      </c>
      <c r="H58" s="26">
        <f>SUM(H57:H57)</f>
        <v>0</v>
      </c>
      <c r="I58" s="26">
        <f>SUM(I57:I57)</f>
        <v>0</v>
      </c>
      <c r="J58" s="26">
        <f>H58+I58</f>
        <v>0</v>
      </c>
      <c r="L58" s="26">
        <f>SUM(L57:L57)</f>
        <v>0</v>
      </c>
      <c r="M58" s="26">
        <f>SUM(M57:M57)</f>
        <v>0</v>
      </c>
      <c r="N58" s="26">
        <f>L58+M58</f>
        <v>0</v>
      </c>
      <c r="P58" s="26">
        <f>SUM(P57:P57)</f>
        <v>0</v>
      </c>
      <c r="Q58" s="26">
        <f>SUM(Q57:Q57)</f>
        <v>-29000</v>
      </c>
      <c r="R58" s="26">
        <f>P58+Q58</f>
        <v>-29000</v>
      </c>
      <c r="S58" s="1"/>
      <c r="T58" s="26">
        <f>SUM(T57:T57)</f>
        <v>29000</v>
      </c>
      <c r="U58" s="26">
        <f>SUM(U57:U57)</f>
        <v>0</v>
      </c>
      <c r="V58" s="26">
        <f>T58+U58</f>
        <v>29000</v>
      </c>
      <c r="X58" s="26">
        <f t="shared" si="11"/>
        <v>29000</v>
      </c>
      <c r="Y58" s="26">
        <f t="shared" si="11"/>
        <v>-29000</v>
      </c>
      <c r="Z58" s="26">
        <f t="shared" si="11"/>
        <v>0</v>
      </c>
    </row>
    <row r="59" spans="2:26" x14ac:dyDescent="0.25">
      <c r="B59" s="2"/>
      <c r="C59" s="2"/>
    </row>
    <row r="60" spans="2:26" x14ac:dyDescent="0.25">
      <c r="B60" s="2" t="s">
        <v>912</v>
      </c>
      <c r="C60" s="2"/>
      <c r="D60" s="8">
        <f>D54+D58</f>
        <v>0</v>
      </c>
      <c r="E60" s="8">
        <f>E54+E58</f>
        <v>113500</v>
      </c>
      <c r="F60" s="8">
        <f>D60+E60</f>
        <v>113500</v>
      </c>
      <c r="H60" s="8">
        <f>H54+H58</f>
        <v>0</v>
      </c>
      <c r="I60" s="8">
        <f>I54+I58</f>
        <v>113500</v>
      </c>
      <c r="J60" s="8">
        <f>H60+I60</f>
        <v>113500</v>
      </c>
      <c r="L60" s="8">
        <f>L54+L58</f>
        <v>0</v>
      </c>
      <c r="M60" s="8">
        <f>M54+M58</f>
        <v>113500</v>
      </c>
      <c r="N60" s="8">
        <f>L60+M60</f>
        <v>113500</v>
      </c>
      <c r="P60" s="8">
        <f>P54+P58</f>
        <v>0</v>
      </c>
      <c r="Q60" s="8">
        <f>Q54+Q58</f>
        <v>765500</v>
      </c>
      <c r="R60" s="8">
        <f>P60+Q60</f>
        <v>765500</v>
      </c>
      <c r="T60" s="8">
        <f>T54+T58</f>
        <v>29000</v>
      </c>
      <c r="U60" s="8">
        <f>U54+U58</f>
        <v>0</v>
      </c>
      <c r="V60" s="8">
        <f>T60+U60</f>
        <v>29000</v>
      </c>
      <c r="X60" s="8">
        <f>D60+H60+L60+P60+T60</f>
        <v>29000</v>
      </c>
      <c r="Y60" s="8">
        <f>E60+I60+M60+Q60+U60</f>
        <v>1106000</v>
      </c>
      <c r="Z60" s="8">
        <f>F60+J60+N60+R60+V60</f>
        <v>1135000</v>
      </c>
    </row>
    <row r="61" spans="2:26" x14ac:dyDescent="0.25">
      <c r="B61" s="2"/>
      <c r="C61" s="2"/>
    </row>
    <row r="63" spans="2:26" x14ac:dyDescent="0.25">
      <c r="D63" t="s">
        <v>72</v>
      </c>
    </row>
    <row r="64" spans="2:26" x14ac:dyDescent="0.25">
      <c r="D64" s="2"/>
    </row>
    <row r="65" spans="4:18" x14ac:dyDescent="0.25">
      <c r="D65" s="2" t="s">
        <v>58</v>
      </c>
      <c r="E65" t="s">
        <v>836</v>
      </c>
    </row>
    <row r="69" spans="4:18" x14ac:dyDescent="0.25">
      <c r="D69" t="s">
        <v>885</v>
      </c>
    </row>
    <row r="71" spans="4:18" x14ac:dyDescent="0.25">
      <c r="D71" s="36" t="s">
        <v>3</v>
      </c>
      <c r="E71" s="36"/>
      <c r="F71" s="36"/>
      <c r="H71" s="36" t="s">
        <v>4</v>
      </c>
      <c r="I71" s="36"/>
      <c r="J71" s="36"/>
      <c r="L71" s="36" t="s">
        <v>2</v>
      </c>
      <c r="M71" s="36"/>
      <c r="N71" s="36"/>
      <c r="P71" s="36" t="s">
        <v>13</v>
      </c>
      <c r="Q71" s="36"/>
      <c r="R71" s="36"/>
    </row>
    <row r="72" spans="4:18" x14ac:dyDescent="0.25">
      <c r="D72" s="6"/>
      <c r="E72" s="6"/>
      <c r="F72" s="6"/>
      <c r="H72" s="6"/>
      <c r="I72" s="6"/>
      <c r="J72" s="6"/>
    </row>
    <row r="73" spans="4:18" x14ac:dyDescent="0.25">
      <c r="E73" s="6" t="s">
        <v>110</v>
      </c>
      <c r="F73" s="6" t="s">
        <v>111</v>
      </c>
      <c r="I73" s="6" t="s">
        <v>110</v>
      </c>
      <c r="J73" s="6" t="s">
        <v>111</v>
      </c>
      <c r="M73" s="6" t="s">
        <v>110</v>
      </c>
      <c r="N73" s="6" t="s">
        <v>111</v>
      </c>
      <c r="Q73" s="6" t="s">
        <v>110</v>
      </c>
      <c r="R73" s="6" t="s">
        <v>111</v>
      </c>
    </row>
    <row r="74" spans="4:18" x14ac:dyDescent="0.25">
      <c r="E74" s="6"/>
      <c r="F74" s="6"/>
    </row>
    <row r="75" spans="4:18" x14ac:dyDescent="0.25">
      <c r="E75" s="2" t="s">
        <v>635</v>
      </c>
      <c r="F75" s="9">
        <v>0</v>
      </c>
      <c r="I75" s="2" t="s">
        <v>811</v>
      </c>
      <c r="J75" s="9">
        <v>0</v>
      </c>
      <c r="M75" s="2" t="s">
        <v>793</v>
      </c>
      <c r="N75" s="9">
        <v>0</v>
      </c>
      <c r="Q75" s="2" t="s">
        <v>631</v>
      </c>
      <c r="R75" s="9">
        <v>0</v>
      </c>
    </row>
    <row r="76" spans="4:18" x14ac:dyDescent="0.25">
      <c r="E76" s="2" t="s">
        <v>113</v>
      </c>
      <c r="F76" s="8">
        <f>SUM(F75:F75)</f>
        <v>0</v>
      </c>
      <c r="I76" s="2" t="s">
        <v>113</v>
      </c>
      <c r="J76" s="13">
        <f>SUM(J75:J75)</f>
        <v>0</v>
      </c>
      <c r="M76" s="2" t="s">
        <v>113</v>
      </c>
      <c r="N76" s="13">
        <f>SUM(N75:N75)</f>
        <v>0</v>
      </c>
      <c r="Q76" s="2" t="s">
        <v>113</v>
      </c>
      <c r="R76" s="13">
        <f>SUM(R75:R75)</f>
        <v>0</v>
      </c>
    </row>
    <row r="78" spans="4:18" x14ac:dyDescent="0.25">
      <c r="E78" s="1"/>
    </row>
    <row r="79" spans="4:18" x14ac:dyDescent="0.25">
      <c r="E79" s="1"/>
    </row>
    <row r="80" spans="4:18" x14ac:dyDescent="0.25">
      <c r="D80" s="6" t="s">
        <v>118</v>
      </c>
      <c r="E80" s="1"/>
    </row>
    <row r="81" spans="4:5" x14ac:dyDescent="0.25">
      <c r="D81" s="29">
        <v>1</v>
      </c>
      <c r="E81" t="str">
        <f>"FY2027 local surtax revenue will be " &amp;  TEXT(Z10,"$#,0.00") &amp; " or " &amp; TEXT('FY25'!Z10+'FY25'!Z11-Z10,"$#,0.00") &amp; " less than in FY2025"</f>
        <v>FY2027 local surtax revenue will be $900,000.00 or $168,987.93 less than in FY2025</v>
      </c>
    </row>
    <row r="82" spans="4:5" x14ac:dyDescent="0.25">
      <c r="D82" s="29">
        <v>2</v>
      </c>
      <c r="E82" t="str">
        <f>"FY2027 interest earned will be " &amp; TEXT(Z14,"$#,0.00") &amp; " or " &amp; TEXT('FY25'!Z14-Z14,"$#,0.00") &amp; " less than in FY2025"</f>
        <v>FY2027 interest earned will be $10,000.00 or $26,844.84 less than in FY2025</v>
      </c>
    </row>
    <row r="83" spans="4:5" x14ac:dyDescent="0.25">
      <c r="D83" s="29">
        <v>3</v>
      </c>
      <c r="E83" t="str">
        <f>"FY2027 state match will be " &amp; TEXT(Z12/Z10,"0.0%") &amp; " of the FY2027 local surtax revenue of " &amp; TEXT(Z10,"$#,0") &amp; " or " &amp; TEXT(Z12,"$#,0")</f>
        <v>FY2027 state match will be 25.0% of the FY2027 local surtax revenue of $900,000 or $225,000</v>
      </c>
    </row>
    <row r="84" spans="4:5" x14ac:dyDescent="0.25">
      <c r="D84" s="29">
        <v>4</v>
      </c>
      <c r="E84" t="str">
        <f>"FY2027 state match will be " &amp; TEXT(Z12,"$#,0") &amp; " or " &amp; TEXT(Z12/('FY25'!Z10+'FY25'!Z11),"0.00%") &amp; " of the FY2025 local surtax revenue"</f>
        <v>FY2027 state match will be $225,000 or 21.05% of the FY2025 local surtax revenue</v>
      </c>
    </row>
    <row r="85" spans="4:5" x14ac:dyDescent="0.25">
      <c r="D85" s="29">
        <v>5</v>
      </c>
      <c r="E85" t="s">
        <v>913</v>
      </c>
    </row>
    <row r="86" spans="4:5" x14ac:dyDescent="0.25">
      <c r="D86" s="29">
        <v>6</v>
      </c>
      <c r="E86" t="s">
        <v>914</v>
      </c>
    </row>
    <row r="87" spans="4:5" x14ac:dyDescent="0.25">
      <c r="D87" s="29">
        <v>7</v>
      </c>
      <c r="E87" t="str">
        <f>"FY2028 local surtax revenue will be " &amp; TEXT(Z51,"$#,0") &amp; " or " &amp; TEXT('FY25'!Z10 +'FY25'!Z11 - Z51, "$#,0.00") &amp; " less than in FY2025"</f>
        <v>FY2028 local surtax revenue will be $900,000 or $168,987.93 less than in FY2025</v>
      </c>
    </row>
    <row r="88" spans="4:5" x14ac:dyDescent="0.25">
      <c r="D88" s="29">
        <v>8</v>
      </c>
      <c r="E88" t="str">
        <f>"FY2028 state match revenue (expected on 15 November 2027) will be " &amp; TEXT(Z52,"$#,0.00") &amp; " or " &amp; TEXT(Z52/Z10,"0.0%") &amp; " of expected FY2026 local surtax revenue"</f>
        <v>FY2028 state match revenue (expected on 15 November 2027) will be $225,000.00 or 25.0% of expected FY2026 local surtax revenue</v>
      </c>
    </row>
    <row r="89" spans="4:5" x14ac:dyDescent="0.25">
      <c r="D89" s="29">
        <v>9</v>
      </c>
      <c r="E89" t="str">
        <f>"FY2027 interest earned will be " &amp; TEXT(Z53,"$#,0.00")</f>
        <v>FY2027 interest earned will be $10,000.00</v>
      </c>
    </row>
    <row r="90" spans="4:5" x14ac:dyDescent="0.25">
      <c r="D90" s="29">
        <v>10</v>
      </c>
      <c r="E90" t="s">
        <v>915</v>
      </c>
    </row>
  </sheetData>
  <mergeCells count="11">
    <mergeCell ref="X4:Z4"/>
    <mergeCell ref="D4:F4"/>
    <mergeCell ref="H4:J4"/>
    <mergeCell ref="L4:N4"/>
    <mergeCell ref="P4:R4"/>
    <mergeCell ref="T4:V4"/>
    <mergeCell ref="A48:B48"/>
    <mergeCell ref="D71:F71"/>
    <mergeCell ref="H71:J71"/>
    <mergeCell ref="L71:N71"/>
    <mergeCell ref="P71:R71"/>
  </mergeCells>
  <printOptions horizontalCentered="1"/>
  <pageMargins left="0.25" right="0.25" top="0.75" bottom="0.75" header="0.3" footer="0.3"/>
  <pageSetup paperSize="5" scale="55" fitToHeight="0" orientation="landscape" r:id="rId1"/>
  <headerFooter>
    <oddFooter>&amp;L&amp;F&amp;CPage &amp;P of &amp;N&amp;R29 April 2025</oddFooter>
  </headerFooter>
  <rowBreaks count="1" manualBreakCount="1">
    <brk id="47"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AB123"/>
  <sheetViews>
    <sheetView zoomScaleNormal="100" workbookViewId="0">
      <pane xSplit="2" ySplit="6" topLeftCell="C60" activePane="bottomRight" state="frozen"/>
      <selection pane="topRight"/>
      <selection pane="bottomLeft"/>
      <selection pane="bottomRight" activeCell="A85" sqref="A85"/>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85546875" bestFit="1" customWidth="1"/>
  </cols>
  <sheetData>
    <row r="1" spans="1:28" x14ac:dyDescent="0.25">
      <c r="A1" s="6"/>
    </row>
    <row r="2" spans="1:28" x14ac:dyDescent="0.25">
      <c r="D2" t="s">
        <v>611</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309</v>
      </c>
      <c r="C7" s="2"/>
      <c r="D7" s="8">
        <f>'FY17'!D63</f>
        <v>0</v>
      </c>
      <c r="E7" s="8">
        <f>'FY17'!E63</f>
        <v>414644.67</v>
      </c>
      <c r="F7" s="8">
        <f>D7+E7</f>
        <v>414644.67</v>
      </c>
      <c r="H7" s="8">
        <f>'FY17'!H63</f>
        <v>161658.20000000001</v>
      </c>
      <c r="I7" s="8">
        <f>'FY17'!I63</f>
        <v>32650.46</v>
      </c>
      <c r="J7" s="8">
        <f>H7+I7</f>
        <v>194308.66</v>
      </c>
      <c r="L7" s="8">
        <f>'FY17'!L63</f>
        <v>0</v>
      </c>
      <c r="M7" s="8">
        <f>'FY17'!M63</f>
        <v>37290.75</v>
      </c>
      <c r="N7" s="8">
        <f>L7+M7</f>
        <v>37290.75</v>
      </c>
      <c r="P7" s="8">
        <f>'FY17'!P63</f>
        <v>76846</v>
      </c>
      <c r="Q7" s="8">
        <f>'FY17'!Q63</f>
        <v>395381.36</v>
      </c>
      <c r="R7" s="8">
        <f>P7+Q7</f>
        <v>472227.36</v>
      </c>
      <c r="T7" s="8">
        <f>'FY17'!T63</f>
        <v>0</v>
      </c>
      <c r="U7" s="8">
        <f>'FY17'!U63</f>
        <v>0</v>
      </c>
      <c r="V7" s="8">
        <f>T7+U7</f>
        <v>0</v>
      </c>
      <c r="X7" s="8">
        <f>D7+H7+L7+P7+T7</f>
        <v>238504.2</v>
      </c>
      <c r="Y7" s="8">
        <f>E7+I7+M7+Q7+U7</f>
        <v>879967.24</v>
      </c>
      <c r="Z7" s="8">
        <f>F7+J7+N7+R7+V7</f>
        <v>1118471.44</v>
      </c>
    </row>
    <row r="9" spans="1:28" x14ac:dyDescent="0.25">
      <c r="B9" s="5" t="s">
        <v>11</v>
      </c>
      <c r="C9" s="5"/>
      <c r="T9" s="1"/>
      <c r="U9" s="1"/>
      <c r="V9" s="1"/>
    </row>
    <row r="10" spans="1:28" x14ac:dyDescent="0.25">
      <c r="B10" s="2" t="s">
        <v>719</v>
      </c>
      <c r="C10" s="2"/>
      <c r="D10" s="9">
        <v>0</v>
      </c>
      <c r="E10" s="9">
        <f>ROUND(697327.67/10,2)</f>
        <v>69732.77</v>
      </c>
      <c r="F10" s="8">
        <f t="shared" ref="F10:F15" si="0">D10+E10</f>
        <v>69732.77</v>
      </c>
      <c r="H10" s="9">
        <v>0</v>
      </c>
      <c r="I10" s="9">
        <f>ROUND(697327.67/10,2)</f>
        <v>69732.77</v>
      </c>
      <c r="J10" s="8">
        <f t="shared" ref="J10:J15" si="1">H10+I10</f>
        <v>69732.77</v>
      </c>
      <c r="L10" s="9">
        <v>0</v>
      </c>
      <c r="M10" s="9">
        <f>ROUND(697327.67/10,2)</f>
        <v>69732.77</v>
      </c>
      <c r="N10" s="8">
        <f t="shared" ref="N10:N15" si="2">L10+M10</f>
        <v>69732.77</v>
      </c>
      <c r="P10" s="9">
        <v>0</v>
      </c>
      <c r="Q10" s="9">
        <f>697327.67-E10-I10-M10</f>
        <v>488129.36</v>
      </c>
      <c r="R10" s="8">
        <f t="shared" ref="R10:R15" si="3">P10+Q10</f>
        <v>488129.36</v>
      </c>
      <c r="T10" s="1"/>
      <c r="U10" s="1"/>
      <c r="V10" s="1"/>
      <c r="X10" s="8">
        <f t="shared" ref="X10:Z15" si="4">D10+H10+L10+P10+T10</f>
        <v>0</v>
      </c>
      <c r="Y10" s="8">
        <f t="shared" si="4"/>
        <v>697327.66999999993</v>
      </c>
      <c r="Z10" s="8">
        <f t="shared" si="4"/>
        <v>697327.66999999993</v>
      </c>
      <c r="AB10" s="1"/>
    </row>
    <row r="11" spans="1:28" x14ac:dyDescent="0.25">
      <c r="B11" s="2" t="s">
        <v>5</v>
      </c>
      <c r="C11" s="2"/>
      <c r="D11" s="9">
        <v>0</v>
      </c>
      <c r="E11" s="9">
        <f>ROUND(5855.6/10,2)</f>
        <v>585.55999999999995</v>
      </c>
      <c r="F11" s="8">
        <f t="shared" si="0"/>
        <v>585.55999999999995</v>
      </c>
      <c r="H11" s="9">
        <v>0</v>
      </c>
      <c r="I11" s="9">
        <f>ROUND(5855.6/10,2)</f>
        <v>585.55999999999995</v>
      </c>
      <c r="J11" s="8">
        <f t="shared" si="1"/>
        <v>585.55999999999995</v>
      </c>
      <c r="L11" s="9">
        <v>0</v>
      </c>
      <c r="M11" s="9">
        <f>ROUND(5855.6/10,2)</f>
        <v>585.55999999999995</v>
      </c>
      <c r="N11" s="8">
        <f t="shared" si="2"/>
        <v>585.55999999999995</v>
      </c>
      <c r="P11" s="9">
        <v>0</v>
      </c>
      <c r="Q11" s="9">
        <f>5855.6-E11-I11-M11</f>
        <v>4098.9200000000019</v>
      </c>
      <c r="R11" s="8">
        <f t="shared" si="3"/>
        <v>4098.9200000000019</v>
      </c>
      <c r="T11" s="1"/>
      <c r="U11" s="1"/>
      <c r="V11" s="1"/>
      <c r="X11" s="8">
        <f t="shared" si="4"/>
        <v>0</v>
      </c>
      <c r="Y11" s="8">
        <f t="shared" si="4"/>
        <v>5855.6000000000022</v>
      </c>
      <c r="Z11" s="8">
        <f t="shared" si="4"/>
        <v>5855.6000000000022</v>
      </c>
    </row>
    <row r="12" spans="1:28" x14ac:dyDescent="0.25">
      <c r="B12" s="2" t="s">
        <v>288</v>
      </c>
      <c r="C12" s="2"/>
      <c r="D12" s="9">
        <v>0</v>
      </c>
      <c r="E12" s="9">
        <f>ROUND(161963/10,2)</f>
        <v>16196.3</v>
      </c>
      <c r="F12" s="8">
        <f t="shared" si="0"/>
        <v>16196.3</v>
      </c>
      <c r="H12" s="9">
        <v>0</v>
      </c>
      <c r="I12" s="9">
        <f>ROUND(161963/10,2)</f>
        <v>16196.3</v>
      </c>
      <c r="J12" s="8">
        <f t="shared" si="1"/>
        <v>16196.3</v>
      </c>
      <c r="L12" s="9">
        <v>0</v>
      </c>
      <c r="M12" s="9">
        <f>ROUND(161963/10,2)</f>
        <v>16196.3</v>
      </c>
      <c r="N12" s="8">
        <f t="shared" si="2"/>
        <v>16196.3</v>
      </c>
      <c r="P12" s="9">
        <v>0</v>
      </c>
      <c r="Q12" s="9">
        <f>161963-E12-I12-M12</f>
        <v>113374.1</v>
      </c>
      <c r="R12" s="8">
        <f t="shared" si="3"/>
        <v>113374.1</v>
      </c>
      <c r="T12" s="1"/>
      <c r="U12" s="1"/>
      <c r="V12" s="1"/>
      <c r="X12" s="8">
        <f t="shared" si="4"/>
        <v>0</v>
      </c>
      <c r="Y12" s="8">
        <f t="shared" si="4"/>
        <v>161963</v>
      </c>
      <c r="Z12" s="8">
        <f t="shared" si="4"/>
        <v>161963</v>
      </c>
    </row>
    <row r="13" spans="1:28" x14ac:dyDescent="0.25">
      <c r="B13" s="2" t="s">
        <v>406</v>
      </c>
      <c r="C13" s="2"/>
      <c r="D13" s="9">
        <v>0</v>
      </c>
      <c r="E13" s="9">
        <v>0</v>
      </c>
      <c r="F13" s="8">
        <f t="shared" si="0"/>
        <v>0</v>
      </c>
      <c r="H13" s="9">
        <v>0</v>
      </c>
      <c r="I13" s="9">
        <v>0</v>
      </c>
      <c r="J13" s="8">
        <f t="shared" si="1"/>
        <v>0</v>
      </c>
      <c r="L13" s="9">
        <v>0</v>
      </c>
      <c r="M13" s="9">
        <v>0</v>
      </c>
      <c r="N13" s="8">
        <f t="shared" si="2"/>
        <v>0</v>
      </c>
      <c r="P13" s="9">
        <v>0</v>
      </c>
      <c r="Q13" s="9">
        <v>5000</v>
      </c>
      <c r="R13" s="8">
        <f t="shared" si="3"/>
        <v>5000</v>
      </c>
      <c r="T13" s="1"/>
      <c r="U13" s="1"/>
      <c r="V13" s="1"/>
      <c r="X13" s="8">
        <f>D13+H13+L13+P13+T13</f>
        <v>0</v>
      </c>
      <c r="Y13" s="8">
        <f>E13+I13+M13+Q13+U13</f>
        <v>5000</v>
      </c>
      <c r="Z13" s="8">
        <f>F13+J13+N13+R13+V13</f>
        <v>5000</v>
      </c>
    </row>
    <row r="14" spans="1:28" ht="15.75" thickBot="1" x14ac:dyDescent="0.3">
      <c r="B14" s="2" t="s">
        <v>310</v>
      </c>
      <c r="C14" s="2"/>
      <c r="D14" s="9">
        <v>0</v>
      </c>
      <c r="E14" s="9">
        <f>ROUND(13111.84/10,2)</f>
        <v>1311.18</v>
      </c>
      <c r="F14" s="15">
        <f t="shared" si="0"/>
        <v>1311.18</v>
      </c>
      <c r="H14" s="14">
        <v>0</v>
      </c>
      <c r="I14" s="9">
        <f>ROUND(13111.84/10,2)</f>
        <v>1311.18</v>
      </c>
      <c r="J14" s="15">
        <f t="shared" si="1"/>
        <v>1311.18</v>
      </c>
      <c r="L14" s="14">
        <v>0</v>
      </c>
      <c r="M14" s="9">
        <f>ROUND(13111.84/10,2)</f>
        <v>1311.18</v>
      </c>
      <c r="N14" s="15">
        <f t="shared" si="2"/>
        <v>1311.18</v>
      </c>
      <c r="P14" s="14">
        <v>0</v>
      </c>
      <c r="Q14" s="14">
        <f>13111.84-E14-I14-M14</f>
        <v>9178.2999999999993</v>
      </c>
      <c r="R14" s="15">
        <f t="shared" si="3"/>
        <v>9178.2999999999993</v>
      </c>
      <c r="T14" s="1"/>
      <c r="U14" s="1"/>
      <c r="V14" s="1"/>
      <c r="X14" s="15">
        <f t="shared" si="4"/>
        <v>0</v>
      </c>
      <c r="Y14" s="15">
        <f t="shared" si="4"/>
        <v>13111.84</v>
      </c>
      <c r="Z14" s="15">
        <f t="shared" si="4"/>
        <v>13111.84</v>
      </c>
    </row>
    <row r="15" spans="1:28" x14ac:dyDescent="0.25">
      <c r="B15" s="2" t="s">
        <v>28</v>
      </c>
      <c r="C15" s="2"/>
      <c r="D15" s="26">
        <f>SUM(D10:D14)</f>
        <v>0</v>
      </c>
      <c r="E15" s="26">
        <f>SUM(E10:E14)</f>
        <v>87825.81</v>
      </c>
      <c r="F15" s="26">
        <f t="shared" si="0"/>
        <v>87825.81</v>
      </c>
      <c r="H15" s="26">
        <f>SUM(H10:H14)</f>
        <v>0</v>
      </c>
      <c r="I15" s="26">
        <f>SUM(I10:I14)</f>
        <v>87825.81</v>
      </c>
      <c r="J15" s="26">
        <f t="shared" si="1"/>
        <v>87825.81</v>
      </c>
      <c r="L15" s="26">
        <f>SUM(L10:L14)</f>
        <v>0</v>
      </c>
      <c r="M15" s="26">
        <f>SUM(M10:M14)</f>
        <v>87825.81</v>
      </c>
      <c r="N15" s="26">
        <f t="shared" si="2"/>
        <v>87825.81</v>
      </c>
      <c r="P15" s="26">
        <f>SUM(P10:P14)</f>
        <v>0</v>
      </c>
      <c r="Q15" s="26">
        <f>SUM(Q10:Q14)</f>
        <v>619780.68000000005</v>
      </c>
      <c r="R15" s="26">
        <f t="shared" si="3"/>
        <v>619780.68000000005</v>
      </c>
      <c r="S15" s="1"/>
      <c r="T15" s="26">
        <f>SUM(T10:T14)</f>
        <v>0</v>
      </c>
      <c r="U15" s="26">
        <f>SUM(U10:U14)</f>
        <v>0</v>
      </c>
      <c r="V15" s="26">
        <f>T15+U15</f>
        <v>0</v>
      </c>
      <c r="X15" s="26">
        <f t="shared" si="4"/>
        <v>0</v>
      </c>
      <c r="Y15" s="26">
        <f t="shared" si="4"/>
        <v>883258.1100000001</v>
      </c>
      <c r="Z15" s="26">
        <f t="shared" si="4"/>
        <v>883258.1100000001</v>
      </c>
    </row>
    <row r="17" spans="2:26" x14ac:dyDescent="0.25">
      <c r="B17" s="5" t="s">
        <v>311</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5">D18+H18+L18+P18+T18</f>
        <v>0</v>
      </c>
      <c r="Y18" s="8">
        <f t="shared" si="5"/>
        <v>0</v>
      </c>
      <c r="Z18" s="8">
        <f t="shared" si="5"/>
        <v>0</v>
      </c>
    </row>
    <row r="19" spans="2:26" x14ac:dyDescent="0.25">
      <c r="B19" s="2" t="s">
        <v>79</v>
      </c>
      <c r="C19" s="2"/>
      <c r="H19" s="1"/>
      <c r="I19" s="1"/>
      <c r="J19" s="1"/>
      <c r="L19" s="1"/>
      <c r="M19" s="1"/>
      <c r="P19" s="8">
        <v>0</v>
      </c>
      <c r="Q19" s="8">
        <f>-T19</f>
        <v>-10000</v>
      </c>
      <c r="R19" s="8">
        <f>P19+Q19</f>
        <v>-10000</v>
      </c>
      <c r="T19" s="9">
        <v>10000</v>
      </c>
      <c r="U19" s="9">
        <v>0</v>
      </c>
      <c r="V19" s="8">
        <f>T19+U19</f>
        <v>10000</v>
      </c>
      <c r="X19" s="8">
        <f t="shared" si="5"/>
        <v>10000</v>
      </c>
      <c r="Y19" s="8">
        <f t="shared" si="5"/>
        <v>-10000</v>
      </c>
      <c r="Z19" s="8">
        <f t="shared" si="5"/>
        <v>0</v>
      </c>
    </row>
    <row r="20" spans="2:26" x14ac:dyDescent="0.25">
      <c r="B20" s="2" t="s">
        <v>292</v>
      </c>
      <c r="C20" s="6" t="s">
        <v>17</v>
      </c>
      <c r="L20" s="9">
        <v>80000</v>
      </c>
      <c r="M20" s="8">
        <f>-L20</f>
        <v>-80000</v>
      </c>
      <c r="N20" s="8">
        <f>L20+M20</f>
        <v>0</v>
      </c>
      <c r="P20" s="9">
        <f>476721.88-L20</f>
        <v>396721.88</v>
      </c>
      <c r="Q20" s="8">
        <f>-P20</f>
        <v>-396721.88</v>
      </c>
      <c r="R20" s="8">
        <f>P20+Q20</f>
        <v>0</v>
      </c>
      <c r="X20" s="8">
        <f t="shared" ref="X20:Z27" si="6">D20+H20+L20+P20+T20</f>
        <v>476721.88</v>
      </c>
      <c r="Y20" s="8">
        <f t="shared" si="6"/>
        <v>-476721.88</v>
      </c>
      <c r="Z20" s="8">
        <f t="shared" si="6"/>
        <v>0</v>
      </c>
    </row>
    <row r="21" spans="2:26" x14ac:dyDescent="0.25">
      <c r="B21" s="2" t="s">
        <v>590</v>
      </c>
      <c r="C21" s="6" t="s">
        <v>366</v>
      </c>
      <c r="D21" s="9">
        <v>43506</v>
      </c>
      <c r="E21" s="8">
        <f>-D21</f>
        <v>-43506</v>
      </c>
      <c r="F21" s="8">
        <f>D21+E21</f>
        <v>0</v>
      </c>
      <c r="H21" s="1"/>
      <c r="I21" s="1"/>
      <c r="J21" s="1"/>
      <c r="L21" s="1"/>
      <c r="M21" s="1"/>
      <c r="X21" s="8">
        <f t="shared" si="6"/>
        <v>43506</v>
      </c>
      <c r="Y21" s="8">
        <f t="shared" si="6"/>
        <v>-43506</v>
      </c>
      <c r="Z21" s="8">
        <f t="shared" si="6"/>
        <v>0</v>
      </c>
    </row>
    <row r="22" spans="2:26" x14ac:dyDescent="0.25">
      <c r="B22" s="2" t="s">
        <v>589</v>
      </c>
      <c r="C22" s="6" t="s">
        <v>367</v>
      </c>
      <c r="L22" s="1"/>
      <c r="M22" s="1"/>
      <c r="P22" s="9">
        <v>200000</v>
      </c>
      <c r="Q22" s="8">
        <f>-P22</f>
        <v>-200000</v>
      </c>
      <c r="R22" s="8">
        <f>P22+Q22</f>
        <v>0</v>
      </c>
      <c r="X22" s="8">
        <f t="shared" si="6"/>
        <v>200000</v>
      </c>
      <c r="Y22" s="8">
        <f t="shared" si="6"/>
        <v>-200000</v>
      </c>
      <c r="Z22" s="8">
        <f t="shared" si="6"/>
        <v>0</v>
      </c>
    </row>
    <row r="23" spans="2:26" x14ac:dyDescent="0.25">
      <c r="B23" s="2" t="s">
        <v>331</v>
      </c>
      <c r="C23" s="6" t="s">
        <v>368</v>
      </c>
      <c r="H23" s="9">
        <v>15000</v>
      </c>
      <c r="I23" s="8">
        <f>-H23</f>
        <v>-15000</v>
      </c>
      <c r="J23" s="8">
        <f>H23+I23</f>
        <v>0</v>
      </c>
      <c r="L23" s="1"/>
      <c r="M23" s="1"/>
      <c r="X23" s="8">
        <f t="shared" si="6"/>
        <v>15000</v>
      </c>
      <c r="Y23" s="8">
        <f t="shared" si="6"/>
        <v>-15000</v>
      </c>
      <c r="Z23" s="8">
        <f t="shared" si="6"/>
        <v>0</v>
      </c>
    </row>
    <row r="24" spans="2:26" x14ac:dyDescent="0.25">
      <c r="B24" s="2" t="s">
        <v>332</v>
      </c>
      <c r="C24" s="6" t="s">
        <v>369</v>
      </c>
      <c r="H24" s="9">
        <v>5000</v>
      </c>
      <c r="I24" s="8">
        <f>-H24</f>
        <v>-5000</v>
      </c>
      <c r="J24" s="8">
        <f>H24+I24</f>
        <v>0</v>
      </c>
      <c r="L24" s="1"/>
      <c r="M24" s="1"/>
      <c r="X24" s="8">
        <f t="shared" si="6"/>
        <v>5000</v>
      </c>
      <c r="Y24" s="8">
        <f t="shared" si="6"/>
        <v>-5000</v>
      </c>
      <c r="Z24" s="8">
        <f t="shared" si="6"/>
        <v>0</v>
      </c>
    </row>
    <row r="25" spans="2:26" x14ac:dyDescent="0.25">
      <c r="B25" s="2" t="s">
        <v>327</v>
      </c>
      <c r="C25" s="6" t="s">
        <v>370</v>
      </c>
      <c r="H25" s="9">
        <v>7800</v>
      </c>
      <c r="I25" s="8">
        <f>-H25</f>
        <v>-7800</v>
      </c>
      <c r="J25" s="8">
        <f>H25+I25</f>
        <v>0</v>
      </c>
      <c r="X25" s="8">
        <f t="shared" si="6"/>
        <v>7800</v>
      </c>
      <c r="Y25" s="8">
        <f t="shared" si="6"/>
        <v>-7800</v>
      </c>
      <c r="Z25" s="8">
        <f t="shared" si="6"/>
        <v>0</v>
      </c>
    </row>
    <row r="26" spans="2:26" x14ac:dyDescent="0.25">
      <c r="B26" s="2" t="s">
        <v>588</v>
      </c>
      <c r="C26" s="6" t="s">
        <v>371</v>
      </c>
      <c r="L26" s="9">
        <v>5000</v>
      </c>
      <c r="M26" s="8">
        <f>-L26</f>
        <v>-5000</v>
      </c>
      <c r="N26" s="8">
        <f>L26+M26</f>
        <v>0</v>
      </c>
      <c r="P26" s="9">
        <v>20000</v>
      </c>
      <c r="Q26" s="8">
        <f>-P26</f>
        <v>-20000</v>
      </c>
      <c r="R26" s="8">
        <f>P26+Q26</f>
        <v>0</v>
      </c>
      <c r="X26" s="8">
        <f t="shared" si="6"/>
        <v>25000</v>
      </c>
      <c r="Y26" s="8">
        <f t="shared" si="6"/>
        <v>-25000</v>
      </c>
      <c r="Z26" s="8">
        <f t="shared" si="6"/>
        <v>0</v>
      </c>
    </row>
    <row r="27" spans="2:26" ht="15.75" thickBot="1" x14ac:dyDescent="0.3">
      <c r="B27" s="2" t="s">
        <v>587</v>
      </c>
      <c r="C27" s="6" t="s">
        <v>372</v>
      </c>
      <c r="P27" s="9">
        <v>15350</v>
      </c>
      <c r="Q27" s="8">
        <f>-P27</f>
        <v>-15350</v>
      </c>
      <c r="R27" s="8">
        <f>P27+Q27</f>
        <v>0</v>
      </c>
      <c r="X27" s="8">
        <f t="shared" si="6"/>
        <v>15350</v>
      </c>
      <c r="Y27" s="8">
        <f t="shared" si="6"/>
        <v>-15350</v>
      </c>
      <c r="Z27" s="8">
        <f t="shared" si="6"/>
        <v>0</v>
      </c>
    </row>
    <row r="28" spans="2:26" x14ac:dyDescent="0.25">
      <c r="B28" s="2" t="s">
        <v>312</v>
      </c>
      <c r="C28" s="2"/>
      <c r="D28" s="26">
        <f>SUM(D18:D27)</f>
        <v>43506</v>
      </c>
      <c r="E28" s="26">
        <f>SUM(E18:E27)</f>
        <v>-43506</v>
      </c>
      <c r="F28" s="26">
        <f>D28+E28</f>
        <v>0</v>
      </c>
      <c r="H28" s="26">
        <f>SUM(H18:H27)</f>
        <v>27800</v>
      </c>
      <c r="I28" s="26">
        <f>SUM(I18:I27)</f>
        <v>-27800</v>
      </c>
      <c r="J28" s="26">
        <f>H28+I28</f>
        <v>0</v>
      </c>
      <c r="L28" s="26">
        <f>SUM(L18:L27)</f>
        <v>85000</v>
      </c>
      <c r="M28" s="26">
        <f>SUM(M18:M27)</f>
        <v>-85000</v>
      </c>
      <c r="N28" s="26">
        <f>L28+M28</f>
        <v>0</v>
      </c>
      <c r="P28" s="26">
        <f>SUM(P18:P27)</f>
        <v>632071.88</v>
      </c>
      <c r="Q28" s="26">
        <f>SUM(Q18:Q27)</f>
        <v>-642071.88</v>
      </c>
      <c r="R28" s="26">
        <f>P28+Q28</f>
        <v>-10000</v>
      </c>
      <c r="S28" s="1"/>
      <c r="T28" s="26">
        <f>SUM(T18:T27)</f>
        <v>10000</v>
      </c>
      <c r="U28" s="26">
        <f>SUM(U18:U27)</f>
        <v>0</v>
      </c>
      <c r="V28" s="26">
        <f>T28+U28</f>
        <v>10000</v>
      </c>
      <c r="X28" s="26">
        <f>D28+H28+L28+P28+T28</f>
        <v>798377.88</v>
      </c>
      <c r="Y28" s="26">
        <f>E28+I28+M28+Q28+U28</f>
        <v>-798377.88</v>
      </c>
      <c r="Z28" s="26">
        <f>F28+J28+N28+R28+V28</f>
        <v>0</v>
      </c>
    </row>
    <row r="29" spans="2:26" x14ac:dyDescent="0.25">
      <c r="H29" s="1"/>
      <c r="I29" s="1"/>
      <c r="J29" s="1"/>
      <c r="L29" s="1"/>
      <c r="M29" s="1"/>
      <c r="N29" s="1"/>
      <c r="P29" s="1"/>
      <c r="Q29" s="1"/>
      <c r="R29" s="1"/>
    </row>
    <row r="30" spans="2:26" x14ac:dyDescent="0.25">
      <c r="B30" s="5" t="s">
        <v>334</v>
      </c>
      <c r="H30" s="1"/>
      <c r="I30" s="1"/>
      <c r="J30" s="1"/>
      <c r="L30" s="1"/>
      <c r="M30" s="1"/>
      <c r="N30" s="1"/>
      <c r="P30" s="1"/>
      <c r="Q30" s="1"/>
      <c r="R30" s="1"/>
    </row>
    <row r="31" spans="2:26" ht="15.75" thickBot="1" x14ac:dyDescent="0.3">
      <c r="B31" s="2" t="s">
        <v>382</v>
      </c>
      <c r="C31" s="6" t="s">
        <v>383</v>
      </c>
      <c r="H31" s="1"/>
      <c r="I31" s="1"/>
      <c r="J31" s="1"/>
      <c r="L31" s="9">
        <v>7000</v>
      </c>
      <c r="M31" s="8">
        <f>-L31</f>
        <v>-7000</v>
      </c>
      <c r="N31" s="8">
        <f>L31+M31</f>
        <v>0</v>
      </c>
      <c r="P31" s="9">
        <v>42000</v>
      </c>
      <c r="Q31" s="8">
        <f>-P31</f>
        <v>-42000</v>
      </c>
      <c r="R31" s="8">
        <f>P31+Q31</f>
        <v>0</v>
      </c>
      <c r="X31" s="8">
        <f t="shared" ref="X31:Z32" si="7">D31+H31+L31+P31+T31</f>
        <v>49000</v>
      </c>
      <c r="Y31" s="8">
        <f t="shared" si="7"/>
        <v>-49000</v>
      </c>
      <c r="Z31" s="8">
        <f t="shared" si="7"/>
        <v>0</v>
      </c>
    </row>
    <row r="32" spans="2:26" x14ac:dyDescent="0.25">
      <c r="B32" s="2" t="s">
        <v>386</v>
      </c>
      <c r="D32" s="26">
        <f>SUM(D31:D31)</f>
        <v>0</v>
      </c>
      <c r="E32" s="26">
        <f>SUM(E31:E31)</f>
        <v>0</v>
      </c>
      <c r="F32" s="26">
        <f>D32+E32</f>
        <v>0</v>
      </c>
      <c r="H32" s="26">
        <f>SUM(H31:H31)</f>
        <v>0</v>
      </c>
      <c r="I32" s="26">
        <f>SUM(I31:I31)</f>
        <v>0</v>
      </c>
      <c r="J32" s="26">
        <f>H32+I32</f>
        <v>0</v>
      </c>
      <c r="L32" s="26">
        <f>SUM(L31:L31)</f>
        <v>7000</v>
      </c>
      <c r="M32" s="26">
        <f>SUM(M31:M31)</f>
        <v>-7000</v>
      </c>
      <c r="N32" s="26">
        <f>L32+M32</f>
        <v>0</v>
      </c>
      <c r="P32" s="26">
        <f>SUM(P31:P31)</f>
        <v>42000</v>
      </c>
      <c r="Q32" s="26">
        <f>SUM(Q31:Q31)</f>
        <v>-42000</v>
      </c>
      <c r="R32" s="26">
        <f>P32+Q32</f>
        <v>0</v>
      </c>
      <c r="S32" s="1"/>
      <c r="T32" s="26">
        <f>SUM(T31:T31)</f>
        <v>0</v>
      </c>
      <c r="U32" s="26">
        <f>SUM(U31:U31)</f>
        <v>0</v>
      </c>
      <c r="V32" s="26">
        <f>T32+U32</f>
        <v>0</v>
      </c>
      <c r="X32" s="26">
        <f t="shared" si="7"/>
        <v>49000</v>
      </c>
      <c r="Y32" s="26">
        <f t="shared" si="7"/>
        <v>-49000</v>
      </c>
      <c r="Z32" s="26">
        <f t="shared" si="7"/>
        <v>0</v>
      </c>
    </row>
    <row r="33" spans="2:26" x14ac:dyDescent="0.25">
      <c r="B33" s="2"/>
      <c r="H33" s="1"/>
      <c r="I33" s="1"/>
      <c r="J33" s="1"/>
      <c r="L33" s="1"/>
      <c r="M33" s="1"/>
      <c r="N33" s="1"/>
      <c r="P33" s="1"/>
      <c r="Q33" s="1"/>
      <c r="R33" s="1"/>
    </row>
    <row r="34" spans="2:26" x14ac:dyDescent="0.25">
      <c r="B34" s="5" t="s">
        <v>8</v>
      </c>
      <c r="C34" s="5"/>
      <c r="H34" s="1"/>
      <c r="I34" s="1"/>
      <c r="J34" s="1"/>
      <c r="L34" s="1"/>
      <c r="M34" s="1"/>
      <c r="N34" s="1"/>
      <c r="P34" s="1"/>
      <c r="Q34" s="1"/>
    </row>
    <row r="35" spans="2:26" x14ac:dyDescent="0.25">
      <c r="B35" s="2" t="s">
        <v>7</v>
      </c>
      <c r="D35" s="1"/>
      <c r="E35" s="1"/>
      <c r="F35" s="1"/>
      <c r="H35" s="1"/>
      <c r="I35" s="1"/>
      <c r="J35" s="1"/>
      <c r="T35" s="9">
        <v>0</v>
      </c>
      <c r="U35" s="9">
        <v>0</v>
      </c>
      <c r="V35" s="8">
        <f>T35+U35</f>
        <v>0</v>
      </c>
      <c r="X35" s="8">
        <f>D35+H35+L35+P35+T35</f>
        <v>0</v>
      </c>
      <c r="Y35" s="8">
        <f>E35+I35+M35+Q35+U35</f>
        <v>0</v>
      </c>
      <c r="Z35" s="8">
        <f t="shared" ref="Z35:Z49" si="8">X35+Y35</f>
        <v>0</v>
      </c>
    </row>
    <row r="36" spans="2:26" x14ac:dyDescent="0.25">
      <c r="B36" s="2" t="s">
        <v>52</v>
      </c>
      <c r="H36" s="1"/>
      <c r="I36" s="1"/>
      <c r="J36" s="1"/>
      <c r="L36" s="1"/>
      <c r="M36" s="1"/>
      <c r="N36" s="1"/>
      <c r="Q36" s="1"/>
      <c r="R36" s="1"/>
      <c r="T36" s="9">
        <v>-3823.86</v>
      </c>
      <c r="U36" s="9">
        <v>0</v>
      </c>
      <c r="V36" s="8">
        <f>T36+U36</f>
        <v>-3823.86</v>
      </c>
      <c r="X36" s="8">
        <f>D36+H36+L36+P36+T36</f>
        <v>-3823.86</v>
      </c>
      <c r="Y36" s="8">
        <f>E36+I36+M36+Q36+U36</f>
        <v>0</v>
      </c>
      <c r="Z36" s="8">
        <f t="shared" si="8"/>
        <v>-3823.86</v>
      </c>
    </row>
    <row r="37" spans="2:26" x14ac:dyDescent="0.25">
      <c r="B37" s="2" t="s">
        <v>292</v>
      </c>
      <c r="C37" s="6" t="s">
        <v>17</v>
      </c>
      <c r="D37" s="1"/>
      <c r="E37" s="1"/>
      <c r="F37" s="1"/>
      <c r="H37" s="1"/>
      <c r="I37" s="1"/>
      <c r="J37" s="1"/>
      <c r="L37" s="9">
        <v>-80000</v>
      </c>
      <c r="M37" s="9">
        <v>0</v>
      </c>
      <c r="N37" s="8">
        <f>L37+M37</f>
        <v>-80000</v>
      </c>
      <c r="P37" s="9">
        <f>-476721.88-L37</f>
        <v>-396721.88</v>
      </c>
      <c r="Q37" s="9">
        <v>0</v>
      </c>
      <c r="R37" s="8">
        <f>P37+Q37</f>
        <v>-396721.88</v>
      </c>
      <c r="X37" s="8">
        <f t="shared" ref="X37:X49" si="9">D37+H37+L37+P37+T37</f>
        <v>-476721.88</v>
      </c>
      <c r="Y37" s="8">
        <f t="shared" ref="Y37:Y49" si="10">E37+I37+M37+Q37+U37</f>
        <v>0</v>
      </c>
      <c r="Z37" s="8">
        <f t="shared" si="8"/>
        <v>-476721.88</v>
      </c>
    </row>
    <row r="38" spans="2:26" x14ac:dyDescent="0.25">
      <c r="B38" s="2" t="s">
        <v>330</v>
      </c>
      <c r="C38" s="6" t="s">
        <v>355</v>
      </c>
      <c r="H38" s="9">
        <f>-4958.2 + 395.16</f>
        <v>-4563.04</v>
      </c>
      <c r="I38" s="9">
        <v>0</v>
      </c>
      <c r="J38" s="8">
        <f>H38+I38</f>
        <v>-4563.04</v>
      </c>
      <c r="L38" s="1"/>
      <c r="M38" s="1"/>
      <c r="N38" s="1"/>
      <c r="Q38" s="1"/>
      <c r="R38" s="1"/>
      <c r="X38" s="8">
        <f t="shared" si="9"/>
        <v>-4563.04</v>
      </c>
      <c r="Y38" s="8">
        <f t="shared" si="10"/>
        <v>0</v>
      </c>
      <c r="Z38" s="8">
        <f t="shared" si="8"/>
        <v>-4563.04</v>
      </c>
    </row>
    <row r="39" spans="2:26" x14ac:dyDescent="0.25">
      <c r="B39" s="2" t="s">
        <v>306</v>
      </c>
      <c r="C39" s="6" t="s">
        <v>354</v>
      </c>
      <c r="F39" s="1"/>
      <c r="H39" s="9">
        <v>-12772.5</v>
      </c>
      <c r="I39" s="9">
        <v>0</v>
      </c>
      <c r="J39" s="8">
        <f>H39+I39</f>
        <v>-12772.5</v>
      </c>
      <c r="L39" s="1"/>
      <c r="M39" s="1"/>
      <c r="N39" s="1"/>
      <c r="Q39" s="1"/>
      <c r="R39" s="1"/>
      <c r="X39" s="8">
        <f t="shared" si="9"/>
        <v>-12772.5</v>
      </c>
      <c r="Y39" s="8">
        <f t="shared" si="10"/>
        <v>0</v>
      </c>
      <c r="Z39" s="8">
        <f t="shared" si="8"/>
        <v>-12772.5</v>
      </c>
    </row>
    <row r="40" spans="2:26" x14ac:dyDescent="0.25">
      <c r="B40" s="2" t="s">
        <v>591</v>
      </c>
      <c r="C40" s="6" t="s">
        <v>365</v>
      </c>
      <c r="H40" s="9">
        <f>-100000+656.82</f>
        <v>-99343.18</v>
      </c>
      <c r="I40" s="9">
        <v>0</v>
      </c>
      <c r="J40" s="8">
        <f>H40+I40</f>
        <v>-99343.18</v>
      </c>
      <c r="L40" s="1"/>
      <c r="M40" s="1"/>
      <c r="N40" s="1"/>
      <c r="P40" s="9">
        <f>-51846+3435.96</f>
        <v>-48410.04</v>
      </c>
      <c r="Q40" s="9">
        <v>0</v>
      </c>
      <c r="R40" s="8">
        <f>P40+Q40</f>
        <v>-48410.04</v>
      </c>
      <c r="X40" s="8">
        <f t="shared" si="9"/>
        <v>-147753.22</v>
      </c>
      <c r="Y40" s="8">
        <f t="shared" si="10"/>
        <v>0</v>
      </c>
      <c r="Z40" s="8">
        <f t="shared" si="8"/>
        <v>-147753.22</v>
      </c>
    </row>
    <row r="41" spans="2:26" x14ac:dyDescent="0.25">
      <c r="B41" s="2" t="s">
        <v>328</v>
      </c>
      <c r="C41" s="6" t="s">
        <v>351</v>
      </c>
      <c r="H41" s="9">
        <v>-20000</v>
      </c>
      <c r="I41" s="9">
        <v>0</v>
      </c>
      <c r="J41" s="8">
        <f>H41+I41</f>
        <v>-20000</v>
      </c>
      <c r="L41" s="1"/>
      <c r="M41" s="1"/>
      <c r="N41" s="1"/>
      <c r="P41" s="9">
        <f>-25000+6603.48</f>
        <v>-18396.52</v>
      </c>
      <c r="Q41" s="9">
        <v>0</v>
      </c>
      <c r="R41" s="8">
        <f>P41+Q41</f>
        <v>-18396.52</v>
      </c>
      <c r="X41" s="8">
        <f t="shared" si="9"/>
        <v>-38396.520000000004</v>
      </c>
      <c r="Y41" s="8">
        <f t="shared" si="10"/>
        <v>0</v>
      </c>
      <c r="Z41" s="8">
        <f t="shared" si="8"/>
        <v>-38396.520000000004</v>
      </c>
    </row>
    <row r="42" spans="2:26" x14ac:dyDescent="0.25">
      <c r="B42" s="2" t="s">
        <v>590</v>
      </c>
      <c r="C42" s="6" t="s">
        <v>366</v>
      </c>
      <c r="D42" s="9">
        <v>-43506</v>
      </c>
      <c r="E42" s="9">
        <v>0</v>
      </c>
      <c r="F42" s="8">
        <f>D42+E42</f>
        <v>-43506</v>
      </c>
      <c r="H42" s="1"/>
      <c r="I42" s="1"/>
      <c r="J42" s="1"/>
      <c r="X42" s="8">
        <f t="shared" si="9"/>
        <v>-43506</v>
      </c>
      <c r="Y42" s="8">
        <f t="shared" si="10"/>
        <v>0</v>
      </c>
      <c r="Z42" s="8">
        <f t="shared" si="8"/>
        <v>-43506</v>
      </c>
    </row>
    <row r="43" spans="2:26" x14ac:dyDescent="0.25">
      <c r="B43" s="2" t="s">
        <v>589</v>
      </c>
      <c r="C43" s="6" t="s">
        <v>367</v>
      </c>
      <c r="P43" s="9">
        <v>-112877.4</v>
      </c>
      <c r="Q43" s="9">
        <v>0</v>
      </c>
      <c r="R43" s="8">
        <f>P43+Q43</f>
        <v>-112877.4</v>
      </c>
      <c r="X43" s="8">
        <f t="shared" si="9"/>
        <v>-112877.4</v>
      </c>
      <c r="Y43" s="8">
        <f t="shared" si="10"/>
        <v>0</v>
      </c>
      <c r="Z43" s="8">
        <f t="shared" si="8"/>
        <v>-112877.4</v>
      </c>
    </row>
    <row r="44" spans="2:26" x14ac:dyDescent="0.25">
      <c r="B44" s="2" t="s">
        <v>331</v>
      </c>
      <c r="C44" s="6" t="s">
        <v>368</v>
      </c>
      <c r="H44" s="9">
        <v>-15000</v>
      </c>
      <c r="I44" s="9">
        <v>0</v>
      </c>
      <c r="J44" s="8">
        <f>H44+I44</f>
        <v>-15000</v>
      </c>
      <c r="X44" s="8">
        <f t="shared" si="9"/>
        <v>-15000</v>
      </c>
      <c r="Y44" s="8">
        <f t="shared" si="10"/>
        <v>0</v>
      </c>
      <c r="Z44" s="8">
        <f t="shared" si="8"/>
        <v>-15000</v>
      </c>
    </row>
    <row r="45" spans="2:26" x14ac:dyDescent="0.25">
      <c r="B45" s="2" t="s">
        <v>332</v>
      </c>
      <c r="C45" s="6" t="s">
        <v>369</v>
      </c>
      <c r="H45" s="9">
        <v>-5000</v>
      </c>
      <c r="I45" s="9">
        <v>0</v>
      </c>
      <c r="J45" s="8">
        <f>H45+I45</f>
        <v>-5000</v>
      </c>
      <c r="X45" s="8">
        <f t="shared" si="9"/>
        <v>-5000</v>
      </c>
      <c r="Y45" s="8">
        <f t="shared" si="10"/>
        <v>0</v>
      </c>
      <c r="Z45" s="8">
        <f t="shared" si="8"/>
        <v>-5000</v>
      </c>
    </row>
    <row r="46" spans="2:26" x14ac:dyDescent="0.25">
      <c r="B46" s="2" t="s">
        <v>327</v>
      </c>
      <c r="C46" s="6" t="s">
        <v>370</v>
      </c>
      <c r="H46" s="9">
        <v>-6915.21</v>
      </c>
      <c r="I46" s="9">
        <v>0</v>
      </c>
      <c r="J46" s="8">
        <f>H46+I46</f>
        <v>-6915.21</v>
      </c>
      <c r="X46" s="8">
        <f t="shared" si="9"/>
        <v>-6915.21</v>
      </c>
      <c r="Y46" s="8">
        <f t="shared" si="10"/>
        <v>0</v>
      </c>
      <c r="Z46" s="8">
        <f t="shared" si="8"/>
        <v>-6915.21</v>
      </c>
    </row>
    <row r="47" spans="2:26" x14ac:dyDescent="0.25">
      <c r="B47" s="2" t="s">
        <v>588</v>
      </c>
      <c r="C47" s="6" t="s">
        <v>371</v>
      </c>
      <c r="D47" s="1"/>
      <c r="E47" s="1"/>
      <c r="F47" s="1"/>
      <c r="H47" s="1"/>
      <c r="I47" s="1"/>
      <c r="J47" s="1"/>
      <c r="L47" s="9">
        <v>-5000</v>
      </c>
      <c r="M47" s="9">
        <v>0</v>
      </c>
      <c r="N47" s="8">
        <f>L47+M47</f>
        <v>-5000</v>
      </c>
      <c r="P47" s="9">
        <v>-20000</v>
      </c>
      <c r="Q47" s="9">
        <v>0</v>
      </c>
      <c r="R47" s="8">
        <f>P47+Q47</f>
        <v>-20000</v>
      </c>
      <c r="X47" s="8">
        <f t="shared" si="9"/>
        <v>-25000</v>
      </c>
      <c r="Y47" s="8">
        <f t="shared" si="10"/>
        <v>0</v>
      </c>
      <c r="Z47" s="8">
        <f t="shared" si="8"/>
        <v>-25000</v>
      </c>
    </row>
    <row r="48" spans="2:26" x14ac:dyDescent="0.25">
      <c r="B48" s="2" t="s">
        <v>587</v>
      </c>
      <c r="C48" s="6" t="s">
        <v>372</v>
      </c>
      <c r="P48" s="14">
        <v>0</v>
      </c>
      <c r="Q48" s="14">
        <v>0</v>
      </c>
      <c r="R48" s="15">
        <f>P48+Q48</f>
        <v>0</v>
      </c>
      <c r="X48" s="8">
        <f t="shared" si="9"/>
        <v>0</v>
      </c>
      <c r="Y48" s="8">
        <f t="shared" si="10"/>
        <v>0</v>
      </c>
      <c r="Z48" s="8">
        <f t="shared" si="8"/>
        <v>0</v>
      </c>
    </row>
    <row r="49" spans="2:26" ht="15.75" thickBot="1" x14ac:dyDescent="0.3">
      <c r="B49" s="2" t="s">
        <v>382</v>
      </c>
      <c r="C49" s="6" t="s">
        <v>383</v>
      </c>
      <c r="L49" s="9">
        <v>0</v>
      </c>
      <c r="M49" s="9">
        <v>0</v>
      </c>
      <c r="N49" s="8">
        <f>L49+M49</f>
        <v>0</v>
      </c>
      <c r="P49" s="9">
        <v>-4596.53</v>
      </c>
      <c r="Q49" s="9">
        <v>0</v>
      </c>
      <c r="R49" s="8">
        <f>P49+Q49</f>
        <v>-4596.53</v>
      </c>
      <c r="X49" s="8">
        <f t="shared" si="9"/>
        <v>-4596.53</v>
      </c>
      <c r="Y49" s="8">
        <f t="shared" si="10"/>
        <v>0</v>
      </c>
      <c r="Z49" s="8">
        <f t="shared" si="8"/>
        <v>-4596.53</v>
      </c>
    </row>
    <row r="50" spans="2:26" x14ac:dyDescent="0.25">
      <c r="B50" s="2" t="s">
        <v>31</v>
      </c>
      <c r="C50" s="2"/>
      <c r="D50" s="26">
        <f>SUM(D35:D49)</f>
        <v>-43506</v>
      </c>
      <c r="E50" s="26">
        <f>SUM(E35:E49)</f>
        <v>0</v>
      </c>
      <c r="F50" s="26">
        <f>D50+E50</f>
        <v>-43506</v>
      </c>
      <c r="H50" s="26">
        <f>SUM(H35:H49)</f>
        <v>-163593.93</v>
      </c>
      <c r="I50" s="26">
        <f>SUM(I35:I49)</f>
        <v>0</v>
      </c>
      <c r="J50" s="26">
        <f>H50+I50</f>
        <v>-163593.93</v>
      </c>
      <c r="L50" s="26">
        <f>SUM(L35:L49)</f>
        <v>-85000</v>
      </c>
      <c r="M50" s="26">
        <f>SUM(M35:M49)</f>
        <v>0</v>
      </c>
      <c r="N50" s="26">
        <f>L50+M50</f>
        <v>-85000</v>
      </c>
      <c r="P50" s="26">
        <f>SUM(P35:P49)</f>
        <v>-601002.37</v>
      </c>
      <c r="Q50" s="26">
        <f>SUM(Q35:Q49)</f>
        <v>0</v>
      </c>
      <c r="R50" s="26">
        <f>P50+Q50</f>
        <v>-601002.37</v>
      </c>
      <c r="S50" s="1"/>
      <c r="T50" s="26">
        <f>SUM(T35:T49)</f>
        <v>-3823.86</v>
      </c>
      <c r="U50" s="26">
        <f>SUM(U35:U49)</f>
        <v>0</v>
      </c>
      <c r="V50" s="26">
        <f>T50+U50</f>
        <v>-3823.86</v>
      </c>
      <c r="X50" s="26">
        <f>SUM(X35:X49)</f>
        <v>-896926.16</v>
      </c>
      <c r="Y50" s="26">
        <f>SUM(Y35:Y49)</f>
        <v>0</v>
      </c>
      <c r="Z50" s="26">
        <f>X50+Y50</f>
        <v>-896926.16</v>
      </c>
    </row>
    <row r="51" spans="2:26" x14ac:dyDescent="0.25">
      <c r="D51" s="1"/>
      <c r="E51" s="1"/>
      <c r="F51" s="1"/>
      <c r="H51" s="1"/>
      <c r="I51" s="1"/>
      <c r="J51" s="1"/>
      <c r="L51" s="1"/>
      <c r="M51" s="1"/>
      <c r="N51" s="1"/>
      <c r="P51" s="1"/>
      <c r="Q51" s="1"/>
      <c r="R51" s="1"/>
      <c r="U51" s="1"/>
      <c r="V51" s="1"/>
      <c r="X51" s="1"/>
    </row>
    <row r="52" spans="2:26" x14ac:dyDescent="0.25">
      <c r="B52" s="5" t="s">
        <v>10</v>
      </c>
      <c r="C52" s="5"/>
      <c r="D52" s="1"/>
      <c r="E52" s="1"/>
      <c r="F52" s="1"/>
      <c r="L52" s="1"/>
      <c r="M52" s="1"/>
      <c r="N52" s="1"/>
    </row>
    <row r="53" spans="2:26" x14ac:dyDescent="0.25">
      <c r="B53" s="2" t="s">
        <v>7</v>
      </c>
      <c r="C53" s="2"/>
      <c r="T53" s="9">
        <v>0</v>
      </c>
      <c r="U53" s="8">
        <f>-T53</f>
        <v>0</v>
      </c>
      <c r="V53" s="8">
        <f>T53+U53</f>
        <v>0</v>
      </c>
      <c r="X53" s="8">
        <f t="shared" ref="X53:Y56" si="11">D53+H53+L53+P53+T53</f>
        <v>0</v>
      </c>
      <c r="Y53" s="8">
        <f t="shared" si="11"/>
        <v>0</v>
      </c>
      <c r="Z53" s="8">
        <f>X53+Y53</f>
        <v>0</v>
      </c>
    </row>
    <row r="54" spans="2:26" x14ac:dyDescent="0.25">
      <c r="B54" s="2" t="s">
        <v>52</v>
      </c>
      <c r="C54" s="2"/>
      <c r="P54" s="9">
        <v>0</v>
      </c>
      <c r="Q54" s="8">
        <f>-T54</f>
        <v>6176.14</v>
      </c>
      <c r="R54" s="8">
        <f>P54+Q54</f>
        <v>6176.14</v>
      </c>
      <c r="T54" s="9">
        <v>-6176.14</v>
      </c>
      <c r="U54" s="9">
        <v>0</v>
      </c>
      <c r="V54" s="8">
        <f>T54+U54</f>
        <v>-6176.14</v>
      </c>
      <c r="X54" s="8">
        <f t="shared" si="11"/>
        <v>-6176.14</v>
      </c>
      <c r="Y54" s="8">
        <f t="shared" si="11"/>
        <v>6176.14</v>
      </c>
      <c r="Z54" s="8">
        <f>X54+Y54</f>
        <v>0</v>
      </c>
    </row>
    <row r="55" spans="2:26" x14ac:dyDescent="0.25">
      <c r="B55" s="2" t="s">
        <v>330</v>
      </c>
      <c r="C55" s="6" t="s">
        <v>355</v>
      </c>
      <c r="H55" s="9">
        <v>-395.16</v>
      </c>
      <c r="I55" s="8">
        <f>-H55</f>
        <v>395.16</v>
      </c>
      <c r="J55" s="8">
        <f>H55+I55</f>
        <v>0</v>
      </c>
      <c r="X55" s="8">
        <f t="shared" si="11"/>
        <v>-395.16</v>
      </c>
      <c r="Y55" s="8">
        <f t="shared" si="11"/>
        <v>395.16</v>
      </c>
      <c r="Z55" s="8">
        <f>X55+Y55</f>
        <v>0</v>
      </c>
    </row>
    <row r="56" spans="2:26" ht="15.75" thickBot="1" x14ac:dyDescent="0.3">
      <c r="B56" s="2" t="s">
        <v>328</v>
      </c>
      <c r="C56" s="6" t="s">
        <v>351</v>
      </c>
      <c r="P56" s="9">
        <v>-6603.48</v>
      </c>
      <c r="Q56" s="8">
        <f>-P56</f>
        <v>6603.48</v>
      </c>
      <c r="R56" s="8">
        <f>P56+Q56</f>
        <v>0</v>
      </c>
      <c r="X56" s="8">
        <f t="shared" si="11"/>
        <v>-6603.48</v>
      </c>
      <c r="Y56" s="8">
        <f t="shared" si="11"/>
        <v>6603.48</v>
      </c>
      <c r="Z56" s="8">
        <f>X56+Y56</f>
        <v>0</v>
      </c>
    </row>
    <row r="57" spans="2:26" x14ac:dyDescent="0.25">
      <c r="B57" s="2" t="s">
        <v>39</v>
      </c>
      <c r="D57" s="26">
        <f>SUM(D53:D56)</f>
        <v>0</v>
      </c>
      <c r="E57" s="26">
        <f>SUM(E53:E56)</f>
        <v>0</v>
      </c>
      <c r="F57" s="26">
        <f>D57+E57</f>
        <v>0</v>
      </c>
      <c r="H57" s="26">
        <f>SUM(H53:H56)</f>
        <v>-395.16</v>
      </c>
      <c r="I57" s="26">
        <f>SUM(I53:I56)</f>
        <v>395.16</v>
      </c>
      <c r="J57" s="26">
        <f>H57+I57</f>
        <v>0</v>
      </c>
      <c r="L57" s="26">
        <f>SUM(L53:L56)</f>
        <v>0</v>
      </c>
      <c r="M57" s="26">
        <f>SUM(M53:M56)</f>
        <v>0</v>
      </c>
      <c r="N57" s="26">
        <f>L57+M57</f>
        <v>0</v>
      </c>
      <c r="P57" s="26">
        <f>SUM(P53:P56)</f>
        <v>-6603.48</v>
      </c>
      <c r="Q57" s="26">
        <f>SUM(Q53:Q56)</f>
        <v>12779.619999999999</v>
      </c>
      <c r="R57" s="26">
        <f>P57+Q57</f>
        <v>6176.1399999999994</v>
      </c>
      <c r="S57" s="1"/>
      <c r="T57" s="26">
        <f>SUM(T53:T56)</f>
        <v>-6176.14</v>
      </c>
      <c r="U57" s="26">
        <f>SUM(U53:U56)</f>
        <v>0</v>
      </c>
      <c r="V57" s="26">
        <f>T57+U57</f>
        <v>-6176.14</v>
      </c>
      <c r="X57" s="26">
        <f>SUM(X53:X56)</f>
        <v>-13174.779999999999</v>
      </c>
      <c r="Y57" s="26">
        <f>SUM(Y53:Y56)</f>
        <v>13174.779999999999</v>
      </c>
      <c r="Z57" s="26">
        <f>X57+Y57</f>
        <v>0</v>
      </c>
    </row>
    <row r="58" spans="2:26" x14ac:dyDescent="0.25">
      <c r="L58" s="1"/>
      <c r="M58" s="1"/>
      <c r="N58" s="1"/>
      <c r="P58" s="1"/>
      <c r="Q58" s="1"/>
      <c r="R58" s="1"/>
    </row>
    <row r="59" spans="2:26" x14ac:dyDescent="0.25">
      <c r="B59" s="2" t="s">
        <v>313</v>
      </c>
      <c r="D59" s="8">
        <f>D7+D15+D28+D32+D50+D57</f>
        <v>0</v>
      </c>
      <c r="E59" s="8">
        <f>E7+E15+E28+E32+E50+E57</f>
        <v>458964.47999999998</v>
      </c>
      <c r="F59" s="8">
        <f>D59+E59</f>
        <v>458964.47999999998</v>
      </c>
      <c r="H59" s="8">
        <f>H7+H15+H28+H32+H50+H57</f>
        <v>25469.110000000019</v>
      </c>
      <c r="I59" s="8">
        <f>I7+I15+I28+I32+I50+I57</f>
        <v>93071.43</v>
      </c>
      <c r="J59" s="8">
        <f>H59+I59</f>
        <v>118540.54000000001</v>
      </c>
      <c r="L59" s="8">
        <f>L7+L15+L28+L32+L50+L57</f>
        <v>7000</v>
      </c>
      <c r="M59" s="8">
        <f>M7+M15+M28+M32+M50+M57</f>
        <v>33116.559999999998</v>
      </c>
      <c r="N59" s="8">
        <f>L59+M59</f>
        <v>40116.559999999998</v>
      </c>
      <c r="P59" s="8">
        <f>P7+P15+P28+P32+P50+P57</f>
        <v>143312.03</v>
      </c>
      <c r="Q59" s="8">
        <f>Q7+Q15+Q28+Q32+Q50+Q57</f>
        <v>343869.78</v>
      </c>
      <c r="R59" s="8">
        <f>P59+Q59</f>
        <v>487181.81000000006</v>
      </c>
      <c r="T59" s="8">
        <f>T7+T15+T28+T32+T50+T57</f>
        <v>0</v>
      </c>
      <c r="U59" s="8">
        <f>U7+U15+U28+U32+U50+U57</f>
        <v>0</v>
      </c>
      <c r="V59" s="8">
        <f>T59+U59</f>
        <v>0</v>
      </c>
      <c r="X59" s="8">
        <f>D59+H59+L59+P59+T59</f>
        <v>175781.14</v>
      </c>
      <c r="Y59" s="8">
        <f>E59+I59+M59+Q59+U59</f>
        <v>929022.25</v>
      </c>
      <c r="Z59" s="8">
        <f>X59+Y59</f>
        <v>1104803.3900000001</v>
      </c>
    </row>
    <row r="60" spans="2:26" x14ac:dyDescent="0.25">
      <c r="L60" s="1"/>
      <c r="M60" s="1"/>
      <c r="N60" s="1"/>
      <c r="P60" s="1"/>
      <c r="Q60" s="1"/>
      <c r="R60" s="1"/>
    </row>
    <row r="61" spans="2:26" x14ac:dyDescent="0.25">
      <c r="B61" s="5" t="s">
        <v>346</v>
      </c>
      <c r="P61" s="1"/>
      <c r="X61" s="8">
        <f t="shared" ref="X61:Y66" si="12">D61+H61+L61+P61+T61</f>
        <v>0</v>
      </c>
      <c r="Y61" s="8">
        <f t="shared" si="12"/>
        <v>0</v>
      </c>
      <c r="Z61" s="8">
        <f t="shared" ref="Z61:Z66" si="13">X61+Y61</f>
        <v>0</v>
      </c>
    </row>
    <row r="62" spans="2:26" x14ac:dyDescent="0.25">
      <c r="B62" s="2" t="s">
        <v>321</v>
      </c>
      <c r="C62" s="6" t="s">
        <v>17</v>
      </c>
      <c r="P62" s="9">
        <v>163333.12</v>
      </c>
      <c r="Q62" s="8">
        <f>-P62</f>
        <v>-163333.12</v>
      </c>
      <c r="R62" s="8">
        <f>P62+Q62</f>
        <v>0</v>
      </c>
      <c r="X62" s="8">
        <f t="shared" ref="X62" si="14">D62+H62+L62+P62+T62</f>
        <v>163333.12</v>
      </c>
      <c r="Y62" s="8">
        <f t="shared" ref="Y62" si="15">E62+I62+M62+Q62+U62</f>
        <v>-163333.12</v>
      </c>
      <c r="Z62" s="8">
        <f t="shared" ref="Z62" si="16">X62+Y62</f>
        <v>0</v>
      </c>
    </row>
    <row r="63" spans="2:26" x14ac:dyDescent="0.25">
      <c r="B63" s="2" t="s">
        <v>582</v>
      </c>
      <c r="C63" s="6" t="s">
        <v>378</v>
      </c>
      <c r="H63" s="9">
        <v>74200</v>
      </c>
      <c r="I63" s="8">
        <f>-H63</f>
        <v>-74200</v>
      </c>
      <c r="J63" s="8">
        <f>H63+I63</f>
        <v>0</v>
      </c>
      <c r="N63" s="1"/>
      <c r="P63" s="1"/>
      <c r="X63" s="8">
        <f t="shared" ref="X63" si="17">D63+H63+L63+P63+T63</f>
        <v>74200</v>
      </c>
      <c r="Y63" s="8">
        <f t="shared" ref="Y63" si="18">E63+I63+M63+Q63+U63</f>
        <v>-74200</v>
      </c>
      <c r="Z63" s="8">
        <f t="shared" ref="Z63" si="19">X63+Y63</f>
        <v>0</v>
      </c>
    </row>
    <row r="64" spans="2:26" x14ac:dyDescent="0.25">
      <c r="B64" s="2" t="s">
        <v>380</v>
      </c>
      <c r="C64" s="6" t="s">
        <v>381</v>
      </c>
      <c r="L64" s="9">
        <v>16200</v>
      </c>
      <c r="M64" s="8">
        <f>-L64</f>
        <v>-16200</v>
      </c>
      <c r="N64" s="8">
        <f>L64+M64</f>
        <v>0</v>
      </c>
      <c r="P64" s="1"/>
      <c r="X64" s="8">
        <f t="shared" si="12"/>
        <v>16200</v>
      </c>
      <c r="Y64" s="8">
        <f t="shared" si="12"/>
        <v>-16200</v>
      </c>
      <c r="Z64" s="8">
        <f t="shared" si="13"/>
        <v>0</v>
      </c>
    </row>
    <row r="65" spans="1:26" ht="15.75" thickBot="1" x14ac:dyDescent="0.3">
      <c r="B65" s="2" t="s">
        <v>244</v>
      </c>
      <c r="D65" s="14">
        <v>0</v>
      </c>
      <c r="E65" s="14">
        <v>0</v>
      </c>
      <c r="F65" s="8">
        <f>D65+E65</f>
        <v>0</v>
      </c>
      <c r="H65" s="14">
        <v>0</v>
      </c>
      <c r="I65" s="14">
        <f>-H65</f>
        <v>0</v>
      </c>
      <c r="J65" s="12">
        <f>H65+I65</f>
        <v>0</v>
      </c>
      <c r="L65" s="14">
        <v>0</v>
      </c>
      <c r="M65" s="14">
        <f>-L65</f>
        <v>0</v>
      </c>
      <c r="N65" s="12">
        <f>L65+M65</f>
        <v>0</v>
      </c>
      <c r="P65" s="14">
        <v>0</v>
      </c>
      <c r="Q65" s="14">
        <v>-0.01</v>
      </c>
      <c r="R65" s="8">
        <f>P65+Q65</f>
        <v>-0.01</v>
      </c>
      <c r="T65" s="14">
        <v>0</v>
      </c>
      <c r="U65" s="14">
        <v>0</v>
      </c>
      <c r="V65" s="8">
        <f>T65+U65</f>
        <v>0</v>
      </c>
      <c r="X65" s="8">
        <f t="shared" si="12"/>
        <v>0</v>
      </c>
      <c r="Y65" s="8">
        <f t="shared" si="12"/>
        <v>-0.01</v>
      </c>
      <c r="Z65" s="8">
        <f t="shared" si="13"/>
        <v>-0.01</v>
      </c>
    </row>
    <row r="66" spans="1:26" x14ac:dyDescent="0.25">
      <c r="B66" s="2" t="s">
        <v>314</v>
      </c>
      <c r="D66" s="26">
        <f>SUM(D62:D65)</f>
        <v>0</v>
      </c>
      <c r="E66" s="26">
        <f>SUM(E62:E65)</f>
        <v>0</v>
      </c>
      <c r="F66" s="26">
        <f>D66+E66</f>
        <v>0</v>
      </c>
      <c r="H66" s="26">
        <f>SUM(H62:H65)</f>
        <v>74200</v>
      </c>
      <c r="I66" s="26">
        <f>SUM(I62:I65)</f>
        <v>-74200</v>
      </c>
      <c r="J66" s="26">
        <f>H66+I66</f>
        <v>0</v>
      </c>
      <c r="L66" s="26">
        <f>SUM(L62:L65)</f>
        <v>16200</v>
      </c>
      <c r="M66" s="26">
        <f>SUM(M62:M65)</f>
        <v>-16200</v>
      </c>
      <c r="N66" s="26">
        <f>L66+M66</f>
        <v>0</v>
      </c>
      <c r="P66" s="26">
        <f>SUM(P62:P65)</f>
        <v>163333.12</v>
      </c>
      <c r="Q66" s="26">
        <f>SUM(Q62:Q65)</f>
        <v>-163333.13</v>
      </c>
      <c r="R66" s="26">
        <f>P66+Q66</f>
        <v>-1.0000000009313226E-2</v>
      </c>
      <c r="S66" s="1"/>
      <c r="T66" s="26">
        <f>SUM(T62:T65)</f>
        <v>0</v>
      </c>
      <c r="U66" s="26">
        <f>SUM(U62:U65)</f>
        <v>0</v>
      </c>
      <c r="V66" s="26">
        <f>T66+U66</f>
        <v>0</v>
      </c>
      <c r="X66" s="26">
        <f t="shared" si="12"/>
        <v>253733.12</v>
      </c>
      <c r="Y66" s="26">
        <f t="shared" si="12"/>
        <v>-253733.13</v>
      </c>
      <c r="Z66" s="26">
        <f t="shared" si="13"/>
        <v>-1.0000000009313226E-2</v>
      </c>
    </row>
    <row r="67" spans="1:26" x14ac:dyDescent="0.25">
      <c r="B67" s="2"/>
    </row>
    <row r="68" spans="1:26" ht="15.75" thickBot="1" x14ac:dyDescent="0.3">
      <c r="B68" s="2" t="s">
        <v>315</v>
      </c>
      <c r="D68" s="17">
        <f>ROUND(D59+D66,2)</f>
        <v>0</v>
      </c>
      <c r="E68" s="17">
        <f>ROUND(E59+E66,2)</f>
        <v>458964.47999999998</v>
      </c>
      <c r="F68" s="17">
        <f>D68+E68</f>
        <v>458964.47999999998</v>
      </c>
      <c r="H68" s="17">
        <f>ROUND(H59+H66,2)</f>
        <v>99669.11</v>
      </c>
      <c r="I68" s="17">
        <f>ROUND(I59+I66,2)</f>
        <v>18871.43</v>
      </c>
      <c r="J68" s="17">
        <f>H68+I68</f>
        <v>118540.54000000001</v>
      </c>
      <c r="L68" s="17">
        <f>ROUND(L59+L66,2)</f>
        <v>23200</v>
      </c>
      <c r="M68" s="17">
        <f>ROUND(M59+M66,2)</f>
        <v>16916.560000000001</v>
      </c>
      <c r="N68" s="17">
        <f>L68+M68</f>
        <v>40116.559999999998</v>
      </c>
      <c r="P68" s="17">
        <f>ROUND(P59+P66,2)</f>
        <v>306645.15000000002</v>
      </c>
      <c r="Q68" s="17">
        <f>ROUND(Q59+Q66,2)</f>
        <v>180536.65</v>
      </c>
      <c r="R68" s="17">
        <f>P68+Q68</f>
        <v>487181.80000000005</v>
      </c>
      <c r="T68" s="17">
        <f>ROUND(T59+T66,2)</f>
        <v>0</v>
      </c>
      <c r="U68" s="17">
        <f>ROUND(U59+U66,2)</f>
        <v>0</v>
      </c>
      <c r="V68" s="17">
        <f>T68+U68</f>
        <v>0</v>
      </c>
      <c r="X68" s="17">
        <f>D68+H68+L68+P68+T68</f>
        <v>429514.26</v>
      </c>
      <c r="Y68" s="17">
        <f>E68+I68+M68+Q68+U68</f>
        <v>675289.12</v>
      </c>
      <c r="Z68" s="17">
        <f>X68+Y68</f>
        <v>1104803.3799999999</v>
      </c>
    </row>
    <row r="69" spans="1:26" ht="15.75" thickTop="1" x14ac:dyDescent="0.25">
      <c r="B69" s="2"/>
      <c r="J69" s="1"/>
      <c r="Q69" s="1"/>
    </row>
    <row r="70" spans="1:26" x14ac:dyDescent="0.25">
      <c r="B70" s="2"/>
    </row>
    <row r="71" spans="1:26" x14ac:dyDescent="0.25">
      <c r="A71" s="35" t="s">
        <v>54</v>
      </c>
      <c r="B71" s="35"/>
    </row>
    <row r="73" spans="1:26" x14ac:dyDescent="0.25">
      <c r="B73" s="5" t="s">
        <v>316</v>
      </c>
      <c r="T73" s="1"/>
    </row>
    <row r="74" spans="1:26" x14ac:dyDescent="0.25">
      <c r="B74" s="2" t="s">
        <v>720</v>
      </c>
      <c r="D74" s="9">
        <v>0</v>
      </c>
      <c r="E74" s="9">
        <f>670000/10</f>
        <v>67000</v>
      </c>
      <c r="F74" s="8">
        <f>D74+E74</f>
        <v>67000</v>
      </c>
      <c r="H74" s="9">
        <v>0</v>
      </c>
      <c r="I74" s="9">
        <f>670000/10</f>
        <v>67000</v>
      </c>
      <c r="J74" s="8">
        <f>H74+I74</f>
        <v>67000</v>
      </c>
      <c r="L74" s="9">
        <v>0</v>
      </c>
      <c r="M74" s="9">
        <f>670000/10</f>
        <v>67000</v>
      </c>
      <c r="N74" s="8">
        <f>L74+M74</f>
        <v>67000</v>
      </c>
      <c r="P74" s="9">
        <v>0</v>
      </c>
      <c r="Q74" s="9">
        <f>670000-E74-I74-M74</f>
        <v>469000</v>
      </c>
      <c r="R74" s="8">
        <f>P74+Q74</f>
        <v>469000</v>
      </c>
      <c r="T74" s="1"/>
      <c r="U74" s="1"/>
      <c r="V74" s="1"/>
      <c r="X74" s="8">
        <f t="shared" ref="X74:Z77" si="20">D74+H74+L74+P74+T74</f>
        <v>0</v>
      </c>
      <c r="Y74" s="8">
        <f t="shared" si="20"/>
        <v>670000</v>
      </c>
      <c r="Z74" s="8">
        <f t="shared" si="20"/>
        <v>670000</v>
      </c>
    </row>
    <row r="75" spans="1:26" x14ac:dyDescent="0.25">
      <c r="B75" s="2" t="s">
        <v>317</v>
      </c>
      <c r="D75" s="9">
        <v>0</v>
      </c>
      <c r="E75" s="9">
        <f>ROUND(67000*0.1,2)</f>
        <v>6700</v>
      </c>
      <c r="F75" s="8">
        <f>D75+E75</f>
        <v>6700</v>
      </c>
      <c r="H75" s="9">
        <v>0</v>
      </c>
      <c r="I75" s="9">
        <f>ROUND(67000*0.1,2)</f>
        <v>6700</v>
      </c>
      <c r="J75" s="8">
        <f>H75+I75</f>
        <v>6700</v>
      </c>
      <c r="L75" s="9">
        <v>0</v>
      </c>
      <c r="M75" s="9">
        <f>ROUND(67000*0.1,2)</f>
        <v>6700</v>
      </c>
      <c r="N75" s="8">
        <f>L75+M75</f>
        <v>6700</v>
      </c>
      <c r="P75" s="9">
        <v>0</v>
      </c>
      <c r="Q75" s="9">
        <f>670000*0.1-E75-I75-M75</f>
        <v>46900</v>
      </c>
      <c r="R75" s="8">
        <f>P75+Q75</f>
        <v>46900</v>
      </c>
      <c r="X75" s="8">
        <f t="shared" si="20"/>
        <v>0</v>
      </c>
      <c r="Y75" s="8">
        <f t="shared" si="20"/>
        <v>67000</v>
      </c>
      <c r="Z75" s="8">
        <f t="shared" si="20"/>
        <v>67000</v>
      </c>
    </row>
    <row r="76" spans="1:26" ht="15.75" thickBot="1" x14ac:dyDescent="0.3">
      <c r="B76" s="2" t="s">
        <v>318</v>
      </c>
      <c r="D76" s="14">
        <v>0</v>
      </c>
      <c r="E76" s="14">
        <f>1000/10</f>
        <v>100</v>
      </c>
      <c r="F76" s="15">
        <f>D76+E76</f>
        <v>100</v>
      </c>
      <c r="H76" s="14">
        <v>0</v>
      </c>
      <c r="I76" s="14">
        <f>1000/10</f>
        <v>100</v>
      </c>
      <c r="J76" s="15">
        <f>H76+I76</f>
        <v>100</v>
      </c>
      <c r="L76" s="14">
        <v>0</v>
      </c>
      <c r="M76" s="14">
        <f>1000/10</f>
        <v>100</v>
      </c>
      <c r="N76" s="15">
        <f>L76+M76</f>
        <v>100</v>
      </c>
      <c r="P76" s="14">
        <v>0</v>
      </c>
      <c r="Q76" s="14">
        <f>1000-E76-I76-M76</f>
        <v>700</v>
      </c>
      <c r="R76" s="15">
        <f>P76+Q76</f>
        <v>700</v>
      </c>
      <c r="X76" s="15">
        <f t="shared" si="20"/>
        <v>0</v>
      </c>
      <c r="Y76" s="15">
        <f t="shared" si="20"/>
        <v>1000</v>
      </c>
      <c r="Z76" s="15">
        <f t="shared" si="20"/>
        <v>1000</v>
      </c>
    </row>
    <row r="77" spans="1:26" x14ac:dyDescent="0.25">
      <c r="B77" s="2" t="s">
        <v>319</v>
      </c>
      <c r="D77" s="26">
        <f>SUM(D74:D76)</f>
        <v>0</v>
      </c>
      <c r="E77" s="26">
        <f>SUM(E74:E76)</f>
        <v>73800</v>
      </c>
      <c r="F77" s="26">
        <f>D77+E77</f>
        <v>73800</v>
      </c>
      <c r="H77" s="26">
        <f>SUM(H74:H76)</f>
        <v>0</v>
      </c>
      <c r="I77" s="26">
        <f>SUM(I74:I76)</f>
        <v>73800</v>
      </c>
      <c r="J77" s="26">
        <f>H77+I77</f>
        <v>73800</v>
      </c>
      <c r="L77" s="26">
        <f>SUM(L74:L76)</f>
        <v>0</v>
      </c>
      <c r="M77" s="26">
        <f>SUM(M74:M76)</f>
        <v>73800</v>
      </c>
      <c r="N77" s="26">
        <f>L77+M77</f>
        <v>73800</v>
      </c>
      <c r="P77" s="26">
        <f>SUM(P74:P76)</f>
        <v>0</v>
      </c>
      <c r="Q77" s="26">
        <f>SUM(Q74:Q76)</f>
        <v>516600</v>
      </c>
      <c r="R77" s="26">
        <f>P77+Q77</f>
        <v>516600</v>
      </c>
      <c r="S77" s="1"/>
      <c r="T77" s="26">
        <f>SUM(T74:T76)</f>
        <v>0</v>
      </c>
      <c r="U77" s="26">
        <f>SUM(U74:U76)</f>
        <v>0</v>
      </c>
      <c r="V77" s="26">
        <f>T77+U77</f>
        <v>0</v>
      </c>
      <c r="X77" s="26">
        <f t="shared" si="20"/>
        <v>0</v>
      </c>
      <c r="Y77" s="26">
        <f t="shared" si="20"/>
        <v>738000</v>
      </c>
      <c r="Z77" s="26">
        <f t="shared" si="20"/>
        <v>738000</v>
      </c>
    </row>
    <row r="78" spans="1:26" x14ac:dyDescent="0.25">
      <c r="B78" s="2"/>
    </row>
    <row r="79" spans="1:26" x14ac:dyDescent="0.25">
      <c r="B79" s="5" t="s">
        <v>320</v>
      </c>
      <c r="T79" s="1"/>
    </row>
    <row r="80" spans="1:26" x14ac:dyDescent="0.25">
      <c r="B80" s="2" t="s">
        <v>86</v>
      </c>
      <c r="H80" s="1"/>
      <c r="I80" s="1"/>
      <c r="J80" s="1"/>
      <c r="L80" s="1"/>
      <c r="M80" s="1"/>
      <c r="P80" s="9">
        <v>0</v>
      </c>
      <c r="Q80" s="8">
        <f>-T80</f>
        <v>-5000</v>
      </c>
      <c r="R80" s="8">
        <f>P80+Q80</f>
        <v>-5000</v>
      </c>
      <c r="T80" s="9">
        <f>2500+2500</f>
        <v>5000</v>
      </c>
      <c r="U80" s="9">
        <v>0</v>
      </c>
      <c r="V80" s="8">
        <f>T80+U80</f>
        <v>5000</v>
      </c>
      <c r="X80" s="8">
        <f t="shared" ref="X80:Z86" si="21">D80+H80+L80+P80+T80</f>
        <v>5000</v>
      </c>
      <c r="Y80" s="8">
        <f t="shared" si="21"/>
        <v>-5000</v>
      </c>
      <c r="Z80" s="8">
        <f t="shared" si="21"/>
        <v>0</v>
      </c>
    </row>
    <row r="81" spans="2:26" x14ac:dyDescent="0.25">
      <c r="B81" s="2" t="s">
        <v>321</v>
      </c>
      <c r="C81" s="6" t="s">
        <v>17</v>
      </c>
      <c r="L81" s="14">
        <v>60000</v>
      </c>
      <c r="M81" s="8">
        <f>-L81</f>
        <v>-60000</v>
      </c>
      <c r="N81" s="8">
        <f>L81+M81</f>
        <v>0</v>
      </c>
      <c r="P81" s="14">
        <f>479603.12-L81</f>
        <v>419603.12</v>
      </c>
      <c r="Q81" s="8">
        <f>-P81</f>
        <v>-419603.12</v>
      </c>
      <c r="R81" s="15">
        <f>P81+Q81</f>
        <v>0</v>
      </c>
      <c r="X81" s="8">
        <f t="shared" ref="X81" si="22">D81+H81+L81+P81+T81</f>
        <v>479603.12</v>
      </c>
      <c r="Y81" s="8">
        <f t="shared" ref="Y81" si="23">E81+I81+M81+Q81+U81</f>
        <v>-479603.12</v>
      </c>
      <c r="Z81" s="8">
        <f t="shared" ref="Z81" si="24">F81+J81+N81+R81+V81</f>
        <v>0</v>
      </c>
    </row>
    <row r="82" spans="2:26" x14ac:dyDescent="0.25">
      <c r="B82" s="2" t="s">
        <v>586</v>
      </c>
      <c r="C82" s="6" t="s">
        <v>377</v>
      </c>
      <c r="D82" s="9">
        <v>50668</v>
      </c>
      <c r="E82" s="8">
        <f>-D82</f>
        <v>-50668</v>
      </c>
      <c r="F82" s="8">
        <f>D82+E82</f>
        <v>0</v>
      </c>
      <c r="H82" s="1"/>
      <c r="I82" s="1"/>
      <c r="J82" s="1"/>
      <c r="L82" s="1"/>
      <c r="M82" s="1"/>
      <c r="X82" s="8">
        <f t="shared" si="21"/>
        <v>50668</v>
      </c>
      <c r="Y82" s="8">
        <f t="shared" si="21"/>
        <v>-50668</v>
      </c>
      <c r="Z82" s="8">
        <f t="shared" si="21"/>
        <v>0</v>
      </c>
    </row>
    <row r="83" spans="2:26" x14ac:dyDescent="0.25">
      <c r="B83" s="2" t="s">
        <v>582</v>
      </c>
      <c r="C83" s="6" t="s">
        <v>378</v>
      </c>
      <c r="H83" s="9">
        <v>130000</v>
      </c>
      <c r="I83" s="8">
        <f>-H83</f>
        <v>-130000</v>
      </c>
      <c r="J83" s="8">
        <f>H83+I83</f>
        <v>0</v>
      </c>
      <c r="L83" s="1"/>
      <c r="M83" s="1"/>
      <c r="P83" s="9">
        <v>145330</v>
      </c>
      <c r="Q83" s="8">
        <f>-P83</f>
        <v>-145330</v>
      </c>
      <c r="R83" s="8">
        <f>P83+Q83</f>
        <v>0</v>
      </c>
      <c r="X83" s="8">
        <f t="shared" si="21"/>
        <v>275330</v>
      </c>
      <c r="Y83" s="8">
        <f t="shared" si="21"/>
        <v>-275330</v>
      </c>
      <c r="Z83" s="8">
        <f t="shared" si="21"/>
        <v>0</v>
      </c>
    </row>
    <row r="84" spans="2:26" x14ac:dyDescent="0.25">
      <c r="B84" s="2" t="s">
        <v>385</v>
      </c>
      <c r="C84" s="6" t="s">
        <v>379</v>
      </c>
      <c r="H84" s="9">
        <v>18000</v>
      </c>
      <c r="I84" s="8">
        <f>-H84</f>
        <v>-18000</v>
      </c>
      <c r="J84" s="8">
        <f>H84+I84</f>
        <v>0</v>
      </c>
      <c r="L84" s="1"/>
      <c r="M84" s="1"/>
      <c r="X84" s="8">
        <f t="shared" si="21"/>
        <v>18000</v>
      </c>
      <c r="Y84" s="8">
        <f t="shared" si="21"/>
        <v>-18000</v>
      </c>
      <c r="Z84" s="8">
        <f t="shared" si="21"/>
        <v>0</v>
      </c>
    </row>
    <row r="85" spans="2:26" ht="15.75" thickBot="1" x14ac:dyDescent="0.3">
      <c r="B85" s="2" t="s">
        <v>380</v>
      </c>
      <c r="C85" s="6" t="s">
        <v>381</v>
      </c>
      <c r="L85" s="9">
        <v>30000</v>
      </c>
      <c r="M85" s="8">
        <f>-L85</f>
        <v>-30000</v>
      </c>
      <c r="N85" s="8">
        <f>L85+M85</f>
        <v>0</v>
      </c>
      <c r="P85" s="9">
        <v>110000</v>
      </c>
      <c r="Q85" s="8">
        <f>-P85</f>
        <v>-110000</v>
      </c>
      <c r="R85" s="8">
        <f>P85+Q85</f>
        <v>0</v>
      </c>
      <c r="X85" s="8">
        <f t="shared" si="21"/>
        <v>140000</v>
      </c>
      <c r="Y85" s="8">
        <f t="shared" si="21"/>
        <v>-140000</v>
      </c>
      <c r="Z85" s="8">
        <f t="shared" si="21"/>
        <v>0</v>
      </c>
    </row>
    <row r="86" spans="2:26" x14ac:dyDescent="0.25">
      <c r="B86" s="2" t="s">
        <v>322</v>
      </c>
      <c r="C86" s="2"/>
      <c r="D86" s="26">
        <f>SUM(D80:D85)</f>
        <v>50668</v>
      </c>
      <c r="E86" s="26">
        <f>SUM(E80:E85)</f>
        <v>-50668</v>
      </c>
      <c r="F86" s="26">
        <f>D86+E86</f>
        <v>0</v>
      </c>
      <c r="H86" s="26">
        <f>SUM(H80:H85)</f>
        <v>148000</v>
      </c>
      <c r="I86" s="26">
        <f>SUM(I80:I85)</f>
        <v>-148000</v>
      </c>
      <c r="J86" s="26">
        <f>H86+I86</f>
        <v>0</v>
      </c>
      <c r="L86" s="26">
        <f>SUM(L80:L85)</f>
        <v>90000</v>
      </c>
      <c r="M86" s="26">
        <f>SUM(M80:M85)</f>
        <v>-90000</v>
      </c>
      <c r="N86" s="26">
        <f>L86+M86</f>
        <v>0</v>
      </c>
      <c r="P86" s="26">
        <f>SUM(P80:P85)</f>
        <v>674933.12</v>
      </c>
      <c r="Q86" s="26">
        <f>SUM(Q80:Q85)</f>
        <v>-679933.12</v>
      </c>
      <c r="R86" s="26">
        <f>P86+Q86</f>
        <v>-5000</v>
      </c>
      <c r="S86" s="1"/>
      <c r="T86" s="26">
        <f>SUM(T80:T85)</f>
        <v>5000</v>
      </c>
      <c r="U86" s="26">
        <f>SUM(U80:U85)</f>
        <v>0</v>
      </c>
      <c r="V86" s="26">
        <f>T86+U86</f>
        <v>5000</v>
      </c>
      <c r="X86" s="26">
        <f t="shared" si="21"/>
        <v>968601.12</v>
      </c>
      <c r="Y86" s="26">
        <f t="shared" si="21"/>
        <v>-968601.12</v>
      </c>
      <c r="Z86" s="26">
        <f t="shared" si="21"/>
        <v>0</v>
      </c>
    </row>
    <row r="87" spans="2:26" x14ac:dyDescent="0.25">
      <c r="B87" s="2"/>
      <c r="C87" s="2"/>
    </row>
    <row r="88" spans="2:26" x14ac:dyDescent="0.25">
      <c r="B88" s="2" t="s">
        <v>323</v>
      </c>
      <c r="C88" s="2"/>
      <c r="D88" s="8">
        <f>D77+D86</f>
        <v>50668</v>
      </c>
      <c r="E88" s="8">
        <f>E77+E86</f>
        <v>23132</v>
      </c>
      <c r="F88" s="8">
        <f>D88+E88</f>
        <v>73800</v>
      </c>
      <c r="H88" s="8">
        <f>H77+H86</f>
        <v>148000</v>
      </c>
      <c r="I88" s="8">
        <f>I77+I86</f>
        <v>-74200</v>
      </c>
      <c r="J88" s="8">
        <f>H88+I88</f>
        <v>73800</v>
      </c>
      <c r="L88" s="8">
        <f>L77+L86</f>
        <v>90000</v>
      </c>
      <c r="M88" s="8">
        <f>M77+M86</f>
        <v>-16200</v>
      </c>
      <c r="N88" s="8">
        <f>L88+M88</f>
        <v>73800</v>
      </c>
      <c r="P88" s="8">
        <f>P77+P86</f>
        <v>674933.12</v>
      </c>
      <c r="Q88" s="8">
        <f>Q77+Q86</f>
        <v>-163333.12</v>
      </c>
      <c r="R88" s="8">
        <f>P88+Q88</f>
        <v>511600</v>
      </c>
      <c r="T88" s="8">
        <f>T77+T86</f>
        <v>5000</v>
      </c>
      <c r="U88" s="8">
        <f>U77+U86</f>
        <v>0</v>
      </c>
      <c r="V88" s="8">
        <f>T88+U88</f>
        <v>5000</v>
      </c>
      <c r="X88" s="8">
        <f>D88+H88+L88+P88+T88</f>
        <v>968601.12</v>
      </c>
      <c r="Y88" s="8">
        <f>E88+I88+M88+Q88+U88</f>
        <v>-230601.12</v>
      </c>
      <c r="Z88" s="8">
        <f>F88+J88+N88+R88+V88</f>
        <v>738000</v>
      </c>
    </row>
    <row r="89" spans="2:26" x14ac:dyDescent="0.25">
      <c r="B89" s="2"/>
      <c r="C89" s="2"/>
    </row>
    <row r="91" spans="2:26" x14ac:dyDescent="0.25">
      <c r="D91" t="s">
        <v>72</v>
      </c>
    </row>
    <row r="92" spans="2:26" x14ac:dyDescent="0.25">
      <c r="D92" s="2"/>
    </row>
    <row r="93" spans="2:26" x14ac:dyDescent="0.25">
      <c r="D93" s="2" t="s">
        <v>58</v>
      </c>
      <c r="E93" t="s">
        <v>387</v>
      </c>
    </row>
    <row r="94" spans="2:26" x14ac:dyDescent="0.25">
      <c r="D94" s="2" t="s">
        <v>60</v>
      </c>
      <c r="E94" t="s">
        <v>388</v>
      </c>
    </row>
    <row r="95" spans="2:26" x14ac:dyDescent="0.25">
      <c r="D95" s="2" t="s">
        <v>109</v>
      </c>
      <c r="E95" t="s">
        <v>389</v>
      </c>
    </row>
    <row r="99" spans="4:18" x14ac:dyDescent="0.25">
      <c r="D99" t="s">
        <v>324</v>
      </c>
    </row>
    <row r="101" spans="4:18" x14ac:dyDescent="0.25">
      <c r="D101" s="36" t="s">
        <v>3</v>
      </c>
      <c r="E101" s="36"/>
      <c r="F101" s="36"/>
      <c r="H101" s="36" t="s">
        <v>4</v>
      </c>
      <c r="I101" s="36"/>
      <c r="J101" s="36"/>
      <c r="L101" s="36" t="s">
        <v>2</v>
      </c>
      <c r="M101" s="36"/>
      <c r="N101" s="36"/>
      <c r="P101" s="36" t="s">
        <v>13</v>
      </c>
      <c r="Q101" s="36"/>
      <c r="R101" s="36"/>
    </row>
    <row r="102" spans="4:18" x14ac:dyDescent="0.25">
      <c r="D102" s="6"/>
      <c r="E102" s="6"/>
      <c r="F102" s="6"/>
      <c r="H102" s="6"/>
      <c r="I102" s="6"/>
      <c r="J102" s="6"/>
    </row>
    <row r="103" spans="4:18" x14ac:dyDescent="0.25">
      <c r="E103" s="6" t="s">
        <v>110</v>
      </c>
      <c r="F103" s="6" t="s">
        <v>111</v>
      </c>
      <c r="I103" s="6" t="s">
        <v>110</v>
      </c>
      <c r="J103" s="6" t="s">
        <v>111</v>
      </c>
      <c r="M103" s="6" t="s">
        <v>110</v>
      </c>
      <c r="N103" s="6" t="s">
        <v>111</v>
      </c>
      <c r="Q103" s="6" t="s">
        <v>110</v>
      </c>
      <c r="R103" s="6" t="s">
        <v>111</v>
      </c>
    </row>
    <row r="104" spans="4:18" x14ac:dyDescent="0.25">
      <c r="E104" s="6"/>
      <c r="F104" s="6"/>
    </row>
    <row r="105" spans="4:18" x14ac:dyDescent="0.25">
      <c r="E105" s="2" t="s">
        <v>586</v>
      </c>
      <c r="F105" s="11">
        <v>0</v>
      </c>
      <c r="I105" s="2" t="s">
        <v>306</v>
      </c>
      <c r="J105" s="9">
        <f>38000-1300</f>
        <v>36700</v>
      </c>
      <c r="M105" s="2" t="s">
        <v>268</v>
      </c>
      <c r="N105" s="11">
        <v>0</v>
      </c>
      <c r="Q105" s="2" t="s">
        <v>328</v>
      </c>
      <c r="R105" s="9">
        <v>25000</v>
      </c>
    </row>
    <row r="106" spans="4:18" x14ac:dyDescent="0.25">
      <c r="E106" s="2" t="s">
        <v>113</v>
      </c>
      <c r="F106" s="13">
        <f>SUM(F105:F105)</f>
        <v>0</v>
      </c>
      <c r="I106" s="2" t="s">
        <v>591</v>
      </c>
      <c r="J106" s="9">
        <v>100000</v>
      </c>
      <c r="M106" s="2" t="s">
        <v>113</v>
      </c>
      <c r="N106" s="13">
        <f>N105</f>
        <v>0</v>
      </c>
      <c r="Q106" s="2" t="s">
        <v>591</v>
      </c>
      <c r="R106" s="9">
        <v>51846</v>
      </c>
    </row>
    <row r="107" spans="4:18" x14ac:dyDescent="0.25">
      <c r="I107" s="2" t="s">
        <v>328</v>
      </c>
      <c r="J107" s="9">
        <v>20000</v>
      </c>
      <c r="Q107" s="2" t="s">
        <v>113</v>
      </c>
      <c r="R107" s="13">
        <f>SUM(R105:R106)</f>
        <v>76846</v>
      </c>
    </row>
    <row r="108" spans="4:18" x14ac:dyDescent="0.25">
      <c r="I108" s="2" t="s">
        <v>330</v>
      </c>
      <c r="J108" s="9">
        <f>6648.2-1690</f>
        <v>4958.2</v>
      </c>
    </row>
    <row r="109" spans="4:18" x14ac:dyDescent="0.25">
      <c r="I109" s="2" t="s">
        <v>113</v>
      </c>
      <c r="J109" s="13">
        <f>SUM(J105:J108)</f>
        <v>161658.20000000001</v>
      </c>
    </row>
    <row r="110" spans="4:18" x14ac:dyDescent="0.25">
      <c r="D110" s="6" t="s">
        <v>118</v>
      </c>
      <c r="E110" s="1"/>
      <c r="R110" s="1"/>
    </row>
    <row r="111" spans="4:18" x14ac:dyDescent="0.25">
      <c r="D111" s="2" t="s">
        <v>58</v>
      </c>
      <c r="E111" t="s">
        <v>721</v>
      </c>
    </row>
    <row r="112" spans="4:18" x14ac:dyDescent="0.25">
      <c r="D112" s="2" t="s">
        <v>60</v>
      </c>
      <c r="E112" t="str">
        <f>"FY2019 state match revenue (expected on 15 Nov 2018) will be " &amp; TEXT(Z75,"$#,0.00") &amp; " or " &amp; TEXT(Z12/Z10,"0.0%") &amp; " of expected FY2019 local surtax revenue"</f>
        <v>FY2019 state match revenue (expected on 15 Nov 2018) will be $67,000.00 or 23.2% of expected FY2019 local surtax revenue</v>
      </c>
    </row>
    <row r="113" spans="4:5" x14ac:dyDescent="0.25">
      <c r="D113" s="2" t="s">
        <v>109</v>
      </c>
      <c r="E113" t="str">
        <f>"FY2019 interest earned will be " &amp; TEXT(Z76,"$#,0.00") &amp; "."</f>
        <v>FY2019 interest earned will be $1,000.00.</v>
      </c>
    </row>
    <row r="114" spans="4:5" x14ac:dyDescent="0.25">
      <c r="D114" s="2"/>
    </row>
    <row r="115" spans="4:5" x14ac:dyDescent="0.25">
      <c r="D115" s="2"/>
    </row>
    <row r="116" spans="4:5" x14ac:dyDescent="0.25">
      <c r="D116" s="2"/>
    </row>
    <row r="117" spans="4:5" x14ac:dyDescent="0.25">
      <c r="D117" s="2"/>
    </row>
    <row r="118" spans="4:5" x14ac:dyDescent="0.25">
      <c r="D118" s="2"/>
    </row>
    <row r="119" spans="4:5" x14ac:dyDescent="0.25">
      <c r="D119" s="2"/>
    </row>
    <row r="120" spans="4:5" x14ac:dyDescent="0.25">
      <c r="D120" s="2"/>
    </row>
    <row r="121" spans="4:5" x14ac:dyDescent="0.25">
      <c r="D121" s="2"/>
    </row>
    <row r="122" spans="4:5" x14ac:dyDescent="0.25">
      <c r="D122" s="2"/>
    </row>
    <row r="123" spans="4:5" x14ac:dyDescent="0.25">
      <c r="D123" s="2"/>
    </row>
  </sheetData>
  <sortState xmlns:xlrd2="http://schemas.microsoft.com/office/spreadsheetml/2017/richdata2" ref="B55:Z56">
    <sortCondition ref="C55:C56"/>
  </sortState>
  <mergeCells count="11">
    <mergeCell ref="X4:Z4"/>
    <mergeCell ref="D4:F4"/>
    <mergeCell ref="H4:J4"/>
    <mergeCell ref="L4:N4"/>
    <mergeCell ref="P4:R4"/>
    <mergeCell ref="T4:V4"/>
    <mergeCell ref="A71:B71"/>
    <mergeCell ref="D101:F101"/>
    <mergeCell ref="H101:J101"/>
    <mergeCell ref="L101:N101"/>
    <mergeCell ref="P101:R101"/>
  </mergeCells>
  <printOptions horizontalCentered="1"/>
  <pageMargins left="0.25" right="0.25" top="0.75" bottom="0.75" header="0.3" footer="0.3"/>
  <pageSetup paperSize="5" scale="62" fitToHeight="0" orientation="landscape" r:id="rId1"/>
  <headerFooter>
    <oddFooter>&amp;L&amp;F&amp;CPage &amp;P of &amp;N&amp;R30 August 2018</oddFooter>
  </headerFooter>
  <rowBreaks count="2" manualBreakCount="2">
    <brk id="51" min="3" max="25" man="1"/>
    <brk id="96" min="3" max="2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Z102"/>
  <sheetViews>
    <sheetView zoomScaleNormal="100" workbookViewId="0">
      <pane xSplit="2" ySplit="6" topLeftCell="C25" activePane="bottomRight" state="frozen"/>
      <selection pane="topRight"/>
      <selection pane="bottomLeft"/>
      <selection pane="bottomRight" activeCell="A54" sqref="A54"/>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610</v>
      </c>
    </row>
    <row r="4" spans="1:26" x14ac:dyDescent="0.25">
      <c r="C4" s="20"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20"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280</v>
      </c>
      <c r="C7" s="2"/>
      <c r="D7" s="8">
        <f>'FY16'!D61</f>
        <v>0</v>
      </c>
      <c r="E7" s="8">
        <f>'FY16'!E61</f>
        <v>378058.8</v>
      </c>
      <c r="F7" s="8">
        <f>D7+E7</f>
        <v>378058.8</v>
      </c>
      <c r="H7" s="8">
        <f>'FY16'!H61</f>
        <v>63373.16</v>
      </c>
      <c r="I7" s="8">
        <f>'FY16'!I61</f>
        <v>94064.34</v>
      </c>
      <c r="J7" s="8">
        <f>H7+I7</f>
        <v>157437.5</v>
      </c>
      <c r="L7" s="8">
        <f>'FY16'!L61</f>
        <v>0</v>
      </c>
      <c r="M7" s="8">
        <f>'FY16'!M61</f>
        <v>30983.27</v>
      </c>
      <c r="N7" s="8">
        <f>L7+M7</f>
        <v>30983.27</v>
      </c>
      <c r="P7" s="8">
        <f>'FY16'!P61</f>
        <v>157120</v>
      </c>
      <c r="Q7" s="8">
        <f>'FY16'!Q61</f>
        <v>346527.66</v>
      </c>
      <c r="R7" s="8">
        <f>P7+Q7</f>
        <v>503647.66</v>
      </c>
      <c r="T7" s="8">
        <f>'FY16'!T61</f>
        <v>0</v>
      </c>
      <c r="U7" s="8">
        <f>'FY16'!U61</f>
        <v>0</v>
      </c>
      <c r="V7" s="8">
        <f>T7+U7</f>
        <v>0</v>
      </c>
      <c r="X7" s="8">
        <f>D7+H7+L7+P7+T7</f>
        <v>220493.16</v>
      </c>
      <c r="Y7" s="8">
        <f>E7+I7+M7+Q7+U7</f>
        <v>849634.07000000007</v>
      </c>
      <c r="Z7" s="8">
        <f>F7+J7+N7+R7+V7</f>
        <v>1070127.23</v>
      </c>
    </row>
    <row r="9" spans="1:26" x14ac:dyDescent="0.25">
      <c r="B9" s="5" t="s">
        <v>11</v>
      </c>
      <c r="C9" s="5"/>
      <c r="T9" s="1"/>
      <c r="U9" s="1"/>
      <c r="V9" s="1"/>
    </row>
    <row r="10" spans="1:26" x14ac:dyDescent="0.25">
      <c r="B10" s="2" t="s">
        <v>722</v>
      </c>
      <c r="C10" s="2"/>
      <c r="D10" s="9">
        <v>0</v>
      </c>
      <c r="E10" s="9">
        <f>ROUND(671644.29/10,2)</f>
        <v>67164.429999999993</v>
      </c>
      <c r="F10" s="8">
        <f>D10+E10</f>
        <v>67164.429999999993</v>
      </c>
      <c r="H10" s="9">
        <v>0</v>
      </c>
      <c r="I10" s="9">
        <f>ROUND(671644.29/10,2)</f>
        <v>67164.429999999993</v>
      </c>
      <c r="J10" s="8">
        <f>H10+I10</f>
        <v>67164.429999999993</v>
      </c>
      <c r="L10" s="9">
        <v>0</v>
      </c>
      <c r="M10" s="9">
        <f>ROUND(671644.29/10,2)</f>
        <v>67164.429999999993</v>
      </c>
      <c r="N10" s="8">
        <f>L10+M10</f>
        <v>67164.429999999993</v>
      </c>
      <c r="P10" s="9">
        <v>0</v>
      </c>
      <c r="Q10" s="9">
        <f>671644.29-E10-I10-M10</f>
        <v>470151.00000000017</v>
      </c>
      <c r="R10" s="8">
        <f>P10+Q10</f>
        <v>470151.00000000017</v>
      </c>
      <c r="T10" s="1"/>
      <c r="U10" s="1"/>
      <c r="V10" s="1"/>
      <c r="X10" s="8">
        <f t="shared" ref="X10:Z15" si="0">D10+H10+L10+P10+T10</f>
        <v>0</v>
      </c>
      <c r="Y10" s="8">
        <f t="shared" si="0"/>
        <v>671644.29000000015</v>
      </c>
      <c r="Z10" s="8">
        <f t="shared" si="0"/>
        <v>671644.29000000015</v>
      </c>
    </row>
    <row r="11" spans="1:26" x14ac:dyDescent="0.25">
      <c r="B11" s="2" t="s">
        <v>5</v>
      </c>
      <c r="C11" s="2"/>
      <c r="D11" s="9">
        <v>0</v>
      </c>
      <c r="E11" s="9">
        <v>0</v>
      </c>
      <c r="F11" s="8">
        <f>D11+E11</f>
        <v>0</v>
      </c>
      <c r="H11" s="9">
        <v>0</v>
      </c>
      <c r="I11" s="9">
        <v>0</v>
      </c>
      <c r="J11" s="8">
        <f>H11+I11</f>
        <v>0</v>
      </c>
      <c r="L11" s="9">
        <v>0</v>
      </c>
      <c r="M11" s="9">
        <v>0</v>
      </c>
      <c r="N11" s="8">
        <f>L11+M11</f>
        <v>0</v>
      </c>
      <c r="P11" s="9">
        <v>0</v>
      </c>
      <c r="Q11" s="9">
        <v>0</v>
      </c>
      <c r="R11" s="8">
        <f>P11+Q11</f>
        <v>0</v>
      </c>
      <c r="T11" s="1"/>
      <c r="U11" s="1"/>
      <c r="V11" s="1"/>
      <c r="X11" s="8">
        <f t="shared" si="0"/>
        <v>0</v>
      </c>
      <c r="Y11" s="8">
        <f t="shared" si="0"/>
        <v>0</v>
      </c>
      <c r="Z11" s="8">
        <f t="shared" si="0"/>
        <v>0</v>
      </c>
    </row>
    <row r="12" spans="1:26" x14ac:dyDescent="0.25">
      <c r="B12" s="2" t="s">
        <v>263</v>
      </c>
      <c r="C12" s="2"/>
      <c r="D12" s="9">
        <v>0</v>
      </c>
      <c r="E12" s="9">
        <f>ROUND(183341/10,2)</f>
        <v>18334.099999999999</v>
      </c>
      <c r="F12" s="8">
        <f>D12+E12</f>
        <v>18334.099999999999</v>
      </c>
      <c r="H12" s="9">
        <v>0</v>
      </c>
      <c r="I12" s="9">
        <f>ROUND(183341/10,2)</f>
        <v>18334.099999999999</v>
      </c>
      <c r="J12" s="8">
        <f>H12+I12</f>
        <v>18334.099999999999</v>
      </c>
      <c r="L12" s="9">
        <v>0</v>
      </c>
      <c r="M12" s="9">
        <f>ROUND(183341/10,2)</f>
        <v>18334.099999999999</v>
      </c>
      <c r="N12" s="8">
        <f>L12+M12</f>
        <v>18334.099999999999</v>
      </c>
      <c r="P12" s="9">
        <v>0</v>
      </c>
      <c r="Q12" s="9">
        <f>183341-E12-I12-M12</f>
        <v>128338.69999999998</v>
      </c>
      <c r="R12" s="8">
        <f>P12+Q12</f>
        <v>128338.69999999998</v>
      </c>
      <c r="T12" s="1"/>
      <c r="U12" s="1"/>
      <c r="V12" s="1"/>
      <c r="X12" s="8">
        <f t="shared" si="0"/>
        <v>0</v>
      </c>
      <c r="Y12" s="8">
        <f t="shared" si="0"/>
        <v>183340.99999999997</v>
      </c>
      <c r="Z12" s="8">
        <f t="shared" si="0"/>
        <v>183340.99999999997</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281</v>
      </c>
      <c r="C14" s="2"/>
      <c r="D14" s="9">
        <v>0</v>
      </c>
      <c r="E14" s="9">
        <f>ROUND(8089.54/10,2)</f>
        <v>808.95</v>
      </c>
      <c r="F14" s="15">
        <f>D14+E14</f>
        <v>808.95</v>
      </c>
      <c r="H14" s="14">
        <v>0</v>
      </c>
      <c r="I14" s="9">
        <f>ROUND(8089.54/10,2)</f>
        <v>808.95</v>
      </c>
      <c r="J14" s="15">
        <f>H14+I14</f>
        <v>808.95</v>
      </c>
      <c r="L14" s="14">
        <v>0</v>
      </c>
      <c r="M14" s="9">
        <f>ROUND(8089.54/10,2)</f>
        <v>808.95</v>
      </c>
      <c r="N14" s="15">
        <f>L14+M14</f>
        <v>808.95</v>
      </c>
      <c r="P14" s="14">
        <v>0</v>
      </c>
      <c r="Q14" s="14">
        <f>8089.54-E14-I14-M14</f>
        <v>5662.6900000000005</v>
      </c>
      <c r="R14" s="15">
        <f>P14+Q14</f>
        <v>5662.6900000000005</v>
      </c>
      <c r="T14" s="1"/>
      <c r="U14" s="1"/>
      <c r="V14" s="1"/>
      <c r="X14" s="15">
        <f t="shared" si="0"/>
        <v>0</v>
      </c>
      <c r="Y14" s="15">
        <f t="shared" si="0"/>
        <v>8089.5400000000009</v>
      </c>
      <c r="Z14" s="15">
        <f t="shared" si="0"/>
        <v>8089.5400000000009</v>
      </c>
    </row>
    <row r="15" spans="1:26" x14ac:dyDescent="0.25">
      <c r="B15" s="2" t="s">
        <v>28</v>
      </c>
      <c r="C15" s="2"/>
      <c r="D15" s="26">
        <f>SUM(D10:D14)</f>
        <v>0</v>
      </c>
      <c r="E15" s="26">
        <f>SUM(E10:E14)</f>
        <v>86307.48</v>
      </c>
      <c r="F15" s="26">
        <f>D15+E15</f>
        <v>86307.48</v>
      </c>
      <c r="H15" s="26">
        <f>SUM(H10:H14)</f>
        <v>0</v>
      </c>
      <c r="I15" s="26">
        <f>SUM(I10:I14)</f>
        <v>86307.48</v>
      </c>
      <c r="J15" s="26">
        <f>H15+I15</f>
        <v>86307.48</v>
      </c>
      <c r="L15" s="26">
        <f>SUM(L10:L14)</f>
        <v>0</v>
      </c>
      <c r="M15" s="26">
        <f>SUM(M10:M14)</f>
        <v>86307.48</v>
      </c>
      <c r="N15" s="26">
        <f>L15+M15</f>
        <v>86307.48</v>
      </c>
      <c r="P15" s="26">
        <f>SUM(P10:P14)</f>
        <v>0</v>
      </c>
      <c r="Q15" s="26">
        <f>SUM(Q10:Q14)</f>
        <v>604152.39000000013</v>
      </c>
      <c r="R15" s="26">
        <f>P15+Q15</f>
        <v>604152.39000000013</v>
      </c>
      <c r="S15" s="1"/>
      <c r="T15" s="26">
        <f>SUM(T10:T14)</f>
        <v>0</v>
      </c>
      <c r="U15" s="26">
        <f>SUM(U10:U14)</f>
        <v>0</v>
      </c>
      <c r="V15" s="26">
        <f>T15+U15</f>
        <v>0</v>
      </c>
      <c r="X15" s="26">
        <f t="shared" si="0"/>
        <v>0</v>
      </c>
      <c r="Y15" s="26">
        <f t="shared" si="0"/>
        <v>863074.83000000007</v>
      </c>
      <c r="Z15" s="26">
        <f t="shared" si="0"/>
        <v>863074.83000000007</v>
      </c>
    </row>
    <row r="17" spans="2:26" x14ac:dyDescent="0.25">
      <c r="B17" s="5" t="s">
        <v>307</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79</v>
      </c>
      <c r="C19" s="2"/>
      <c r="H19" s="1"/>
      <c r="I19" s="1"/>
      <c r="J19" s="1"/>
      <c r="L19" s="1"/>
      <c r="M19" s="1"/>
      <c r="P19" s="8">
        <v>0</v>
      </c>
      <c r="Q19" s="8">
        <f>-T19</f>
        <v>-10000</v>
      </c>
      <c r="R19" s="8">
        <f>P19+Q19</f>
        <v>-10000</v>
      </c>
      <c r="T19" s="9">
        <v>10000</v>
      </c>
      <c r="U19" s="9">
        <v>0</v>
      </c>
      <c r="V19" s="8">
        <f>T19+U19</f>
        <v>10000</v>
      </c>
      <c r="X19" s="8">
        <f t="shared" si="8"/>
        <v>10000</v>
      </c>
      <c r="Y19" s="8">
        <f t="shared" si="8"/>
        <v>-10000</v>
      </c>
      <c r="Z19" s="8">
        <f t="shared" si="8"/>
        <v>0</v>
      </c>
    </row>
    <row r="20" spans="2:26" x14ac:dyDescent="0.25">
      <c r="B20" s="2" t="s">
        <v>268</v>
      </c>
      <c r="C20" s="6" t="s">
        <v>17</v>
      </c>
      <c r="L20" s="9">
        <v>80000</v>
      </c>
      <c r="M20" s="8">
        <f>-L20</f>
        <v>-80000</v>
      </c>
      <c r="N20" s="8">
        <f>L20+M20</f>
        <v>0</v>
      </c>
      <c r="P20" s="9">
        <f>476143.75-L20</f>
        <v>396143.75</v>
      </c>
      <c r="Q20" s="8">
        <f>-P20</f>
        <v>-396143.75</v>
      </c>
      <c r="R20" s="8">
        <f>P20+Q20</f>
        <v>0</v>
      </c>
      <c r="X20" s="8">
        <f t="shared" ref="X20:Z24" si="9">D20+H20+L20+P20+T20</f>
        <v>476143.75</v>
      </c>
      <c r="Y20" s="8">
        <f t="shared" si="9"/>
        <v>-476143.75</v>
      </c>
      <c r="Z20" s="8">
        <f t="shared" si="9"/>
        <v>0</v>
      </c>
    </row>
    <row r="21" spans="2:26" x14ac:dyDescent="0.25">
      <c r="B21" s="2" t="s">
        <v>592</v>
      </c>
      <c r="C21" s="6" t="s">
        <v>353</v>
      </c>
      <c r="D21" s="9">
        <v>52500</v>
      </c>
      <c r="E21" s="8">
        <f>-D21</f>
        <v>-52500</v>
      </c>
      <c r="F21" s="8">
        <f>D21+E21</f>
        <v>0</v>
      </c>
      <c r="H21" s="1"/>
      <c r="I21" s="1"/>
      <c r="J21" s="1"/>
      <c r="L21" s="1"/>
      <c r="M21" s="1"/>
      <c r="X21" s="8">
        <f t="shared" si="9"/>
        <v>52500</v>
      </c>
      <c r="Y21" s="8">
        <f t="shared" si="9"/>
        <v>-52500</v>
      </c>
      <c r="Z21" s="8">
        <f t="shared" si="9"/>
        <v>0</v>
      </c>
    </row>
    <row r="22" spans="2:26" x14ac:dyDescent="0.25">
      <c r="B22" s="2" t="s">
        <v>305</v>
      </c>
      <c r="C22" s="6" t="s">
        <v>350</v>
      </c>
      <c r="L22" s="1"/>
      <c r="M22" s="1"/>
      <c r="P22" s="9">
        <v>160000</v>
      </c>
      <c r="Q22" s="8">
        <f>-P22</f>
        <v>-160000</v>
      </c>
      <c r="R22" s="8">
        <f>P22+Q22</f>
        <v>0</v>
      </c>
      <c r="X22" s="8">
        <f t="shared" si="9"/>
        <v>160000</v>
      </c>
      <c r="Y22" s="8">
        <f t="shared" si="9"/>
        <v>-160000</v>
      </c>
      <c r="Z22" s="8">
        <f t="shared" si="9"/>
        <v>0</v>
      </c>
    </row>
    <row r="23" spans="2:26" x14ac:dyDescent="0.25">
      <c r="B23" s="2" t="s">
        <v>306</v>
      </c>
      <c r="C23" s="6" t="s">
        <v>354</v>
      </c>
      <c r="H23" s="9">
        <v>38000</v>
      </c>
      <c r="I23" s="8">
        <f>-H23</f>
        <v>-38000</v>
      </c>
      <c r="J23" s="8">
        <f>H23+I23</f>
        <v>0</v>
      </c>
      <c r="L23" s="1"/>
      <c r="M23" s="1"/>
      <c r="X23" s="8">
        <f t="shared" si="9"/>
        <v>38000</v>
      </c>
      <c r="Y23" s="8">
        <f t="shared" si="9"/>
        <v>-38000</v>
      </c>
      <c r="Z23" s="8">
        <f t="shared" si="9"/>
        <v>0</v>
      </c>
    </row>
    <row r="24" spans="2:26" ht="15.75" thickBot="1" x14ac:dyDescent="0.3">
      <c r="B24" s="2" t="s">
        <v>591</v>
      </c>
      <c r="C24" s="6" t="s">
        <v>365</v>
      </c>
      <c r="H24" s="9">
        <v>100000</v>
      </c>
      <c r="I24" s="8">
        <f>-H24</f>
        <v>-100000</v>
      </c>
      <c r="J24" s="8">
        <f>H24+I24</f>
        <v>0</v>
      </c>
      <c r="P24" s="14">
        <f>165071-H24</f>
        <v>65071</v>
      </c>
      <c r="Q24" s="8">
        <f>-P24</f>
        <v>-65071</v>
      </c>
      <c r="R24" s="15">
        <f>P24+Q24</f>
        <v>0</v>
      </c>
      <c r="X24" s="8">
        <f t="shared" si="9"/>
        <v>165071</v>
      </c>
      <c r="Y24" s="8">
        <f t="shared" si="9"/>
        <v>-165071</v>
      </c>
      <c r="Z24" s="8">
        <f t="shared" si="9"/>
        <v>0</v>
      </c>
    </row>
    <row r="25" spans="2:26" x14ac:dyDescent="0.25">
      <c r="B25" s="2" t="s">
        <v>282</v>
      </c>
      <c r="C25" s="2"/>
      <c r="D25" s="26">
        <f>SUM(D18:D24)</f>
        <v>52500</v>
      </c>
      <c r="E25" s="26">
        <f>SUM(E18:E24)</f>
        <v>-52500</v>
      </c>
      <c r="F25" s="26">
        <f>D25+E25</f>
        <v>0</v>
      </c>
      <c r="H25" s="26">
        <f>SUM(H18:H24)</f>
        <v>138000</v>
      </c>
      <c r="I25" s="26">
        <f>SUM(I18:I24)</f>
        <v>-138000</v>
      </c>
      <c r="J25" s="26">
        <f>H25+I25</f>
        <v>0</v>
      </c>
      <c r="L25" s="26">
        <f>SUM(L18:L24)</f>
        <v>80000</v>
      </c>
      <c r="M25" s="26">
        <f>SUM(M18:M24)</f>
        <v>-80000</v>
      </c>
      <c r="N25" s="26">
        <f>L25+M25</f>
        <v>0</v>
      </c>
      <c r="P25" s="26">
        <f>SUM(P18:P24)</f>
        <v>621214.75</v>
      </c>
      <c r="Q25" s="26">
        <f>SUM(Q18:Q24)</f>
        <v>-631214.75</v>
      </c>
      <c r="R25" s="26">
        <f>P25+Q25</f>
        <v>-10000</v>
      </c>
      <c r="S25" s="1"/>
      <c r="T25" s="26">
        <f>SUM(T18:T24)</f>
        <v>10000</v>
      </c>
      <c r="U25" s="26">
        <f>SUM(U18:U24)</f>
        <v>0</v>
      </c>
      <c r="V25" s="26">
        <f>T25+U25</f>
        <v>10000</v>
      </c>
      <c r="X25" s="26">
        <f>D25+H25+L25+P25+T25</f>
        <v>901714.75</v>
      </c>
      <c r="Y25" s="26">
        <f>E25+I25+M25+Q25+U25</f>
        <v>-901714.75</v>
      </c>
      <c r="Z25" s="26">
        <f>F25+J25+N25+R25+V25</f>
        <v>0</v>
      </c>
    </row>
    <row r="26" spans="2:26" x14ac:dyDescent="0.25">
      <c r="H26" s="1"/>
      <c r="I26" s="1"/>
      <c r="J26" s="1"/>
      <c r="L26" s="1"/>
      <c r="M26" s="1"/>
      <c r="N26" s="1"/>
      <c r="P26" s="1"/>
      <c r="Q26" s="1"/>
      <c r="R26" s="1"/>
    </row>
    <row r="27" spans="2:26" x14ac:dyDescent="0.25">
      <c r="B27" s="5" t="s">
        <v>325</v>
      </c>
      <c r="C27" s="5"/>
      <c r="L27" s="1"/>
      <c r="M27" s="1"/>
      <c r="N27" s="1"/>
      <c r="P27" s="1"/>
      <c r="Q27" s="1"/>
      <c r="R27" s="1"/>
    </row>
    <row r="28" spans="2:26" ht="15.75" thickBot="1" x14ac:dyDescent="0.3">
      <c r="B28" s="2" t="s">
        <v>328</v>
      </c>
      <c r="C28" s="6" t="s">
        <v>351</v>
      </c>
      <c r="H28" s="9">
        <v>20000</v>
      </c>
      <c r="I28" s="8">
        <f>-H28</f>
        <v>-20000</v>
      </c>
      <c r="J28" s="8">
        <f>H28+I28</f>
        <v>0</v>
      </c>
      <c r="L28" s="1"/>
      <c r="M28" s="1"/>
      <c r="N28" s="1"/>
      <c r="P28" s="9">
        <v>25000</v>
      </c>
      <c r="Q28" s="8">
        <f>-P28</f>
        <v>-25000</v>
      </c>
      <c r="R28" s="8">
        <f>P28+Q28</f>
        <v>0</v>
      </c>
      <c r="X28" s="8">
        <f t="shared" ref="X28:Z29" si="10">D28+H28+L28+P28+T28</f>
        <v>45000</v>
      </c>
      <c r="Y28" s="8">
        <f t="shared" si="10"/>
        <v>-45000</v>
      </c>
      <c r="Z28" s="8">
        <f t="shared" si="10"/>
        <v>0</v>
      </c>
    </row>
    <row r="29" spans="2:26" x14ac:dyDescent="0.25">
      <c r="B29" s="2" t="s">
        <v>326</v>
      </c>
      <c r="C29" s="2"/>
      <c r="D29" s="26">
        <f>SUM(D28:D28)</f>
        <v>0</v>
      </c>
      <c r="E29" s="26">
        <f>SUM(E28:E28)</f>
        <v>0</v>
      </c>
      <c r="F29" s="26">
        <f>D29+E29</f>
        <v>0</v>
      </c>
      <c r="H29" s="26">
        <f>SUM(H28:H28)</f>
        <v>20000</v>
      </c>
      <c r="I29" s="26">
        <f>SUM(I28:I28)</f>
        <v>-20000</v>
      </c>
      <c r="J29" s="26">
        <f>H29+I29</f>
        <v>0</v>
      </c>
      <c r="L29" s="26">
        <f>SUM(L28:L28)</f>
        <v>0</v>
      </c>
      <c r="M29" s="26">
        <f>SUM(M28:M28)</f>
        <v>0</v>
      </c>
      <c r="N29" s="26">
        <f>L29+M29</f>
        <v>0</v>
      </c>
      <c r="P29" s="26">
        <f>SUM(P28:P28)</f>
        <v>25000</v>
      </c>
      <c r="Q29" s="26">
        <f>SUM(Q28:Q28)</f>
        <v>-25000</v>
      </c>
      <c r="R29" s="26">
        <f>P29+Q29</f>
        <v>0</v>
      </c>
      <c r="S29" s="1"/>
      <c r="T29" s="26">
        <f>SUM(T28:T28)</f>
        <v>0</v>
      </c>
      <c r="U29" s="26">
        <f>SUM(U28:U28)</f>
        <v>0</v>
      </c>
      <c r="V29" s="26">
        <f>T29+U29</f>
        <v>0</v>
      </c>
      <c r="X29" s="26">
        <f t="shared" si="10"/>
        <v>45000</v>
      </c>
      <c r="Y29" s="26">
        <f t="shared" si="10"/>
        <v>-45000</v>
      </c>
      <c r="Z29" s="26">
        <f t="shared" si="10"/>
        <v>0</v>
      </c>
    </row>
    <row r="30" spans="2:26" x14ac:dyDescent="0.25">
      <c r="H30" s="1"/>
      <c r="I30" s="1"/>
      <c r="J30" s="1"/>
      <c r="L30" s="1"/>
      <c r="M30" s="1"/>
      <c r="N30" s="1"/>
      <c r="P30" s="1"/>
      <c r="Q30" s="1"/>
      <c r="R30" s="1"/>
    </row>
    <row r="31" spans="2:26" x14ac:dyDescent="0.25">
      <c r="B31" s="5" t="s">
        <v>8</v>
      </c>
      <c r="C31" s="5"/>
      <c r="H31" s="1"/>
      <c r="I31" s="1"/>
      <c r="J31" s="1"/>
      <c r="L31" s="1"/>
      <c r="M31" s="1"/>
      <c r="N31" s="1"/>
      <c r="P31" s="1"/>
      <c r="Q31" s="1"/>
    </row>
    <row r="32" spans="2:26" x14ac:dyDescent="0.25">
      <c r="B32" s="2" t="s">
        <v>7</v>
      </c>
      <c r="C32" s="2"/>
      <c r="D32" s="1"/>
      <c r="E32" s="1"/>
      <c r="F32" s="1"/>
      <c r="H32" s="1"/>
      <c r="I32" s="1"/>
      <c r="J32" s="1"/>
      <c r="T32" s="9">
        <v>0</v>
      </c>
      <c r="U32" s="9">
        <v>0</v>
      </c>
      <c r="V32" s="8">
        <f>T32+U32</f>
        <v>0</v>
      </c>
      <c r="X32" s="8">
        <f>D32+H32+L32+P32+T32</f>
        <v>0</v>
      </c>
      <c r="Y32" s="8">
        <f>E32+I32+M32+Q32+U32</f>
        <v>0</v>
      </c>
      <c r="Z32" s="8">
        <f>X32+Y32</f>
        <v>0</v>
      </c>
    </row>
    <row r="33" spans="2:26" x14ac:dyDescent="0.25">
      <c r="B33" s="2" t="s">
        <v>52</v>
      </c>
      <c r="C33" s="2"/>
      <c r="D33" s="1"/>
      <c r="E33" s="1"/>
      <c r="F33" s="1"/>
      <c r="H33" s="1"/>
      <c r="I33" s="1"/>
      <c r="J33" s="1"/>
      <c r="L33" s="1"/>
      <c r="M33" s="1"/>
      <c r="N33" s="1"/>
      <c r="T33" s="9">
        <v>-3001.5</v>
      </c>
      <c r="U33" s="9">
        <v>0</v>
      </c>
      <c r="V33" s="8">
        <f>T33+U33</f>
        <v>-3001.5</v>
      </c>
      <c r="X33" s="8">
        <f>D33+H33+L33+P33+T33</f>
        <v>-3001.5</v>
      </c>
      <c r="Y33" s="8">
        <f>E33+I33+M33+Q33+U33</f>
        <v>0</v>
      </c>
      <c r="Z33" s="8">
        <f>X33+Y33</f>
        <v>-3001.5</v>
      </c>
    </row>
    <row r="34" spans="2:26" x14ac:dyDescent="0.25">
      <c r="B34" s="2" t="s">
        <v>268</v>
      </c>
      <c r="C34" s="6" t="s">
        <v>17</v>
      </c>
      <c r="H34" s="1"/>
      <c r="I34" s="1"/>
      <c r="J34" s="1"/>
      <c r="L34" s="9">
        <v>-80000</v>
      </c>
      <c r="M34" s="9">
        <v>0</v>
      </c>
      <c r="N34" s="8">
        <f>L34+M34</f>
        <v>-80000</v>
      </c>
      <c r="P34" s="9">
        <f>-305000.25-91143.5</f>
        <v>-396143.75</v>
      </c>
      <c r="Q34" s="9">
        <v>0</v>
      </c>
      <c r="R34" s="8">
        <f>P34+Q34</f>
        <v>-396143.75</v>
      </c>
      <c r="X34" s="8">
        <f t="shared" ref="X34:X43" si="11">D34+H34+L34+P34+T34</f>
        <v>-476143.75</v>
      </c>
      <c r="Y34" s="8">
        <f t="shared" ref="Y34:Y43" si="12">E34+I34+M34+Q34+U34</f>
        <v>0</v>
      </c>
      <c r="Z34" s="8">
        <f t="shared" ref="Z34:Z44" si="13">X34+Y34</f>
        <v>-476143.75</v>
      </c>
    </row>
    <row r="35" spans="2:26" x14ac:dyDescent="0.25">
      <c r="B35" s="2" t="s">
        <v>329</v>
      </c>
      <c r="C35" s="6" t="s">
        <v>358</v>
      </c>
      <c r="H35" s="9">
        <v>-195.84</v>
      </c>
      <c r="I35" s="9">
        <v>0</v>
      </c>
      <c r="J35" s="8">
        <f>H35+I35</f>
        <v>-195.84</v>
      </c>
      <c r="L35" s="1"/>
      <c r="M35" s="1"/>
      <c r="N35" s="1"/>
      <c r="Q35" s="1"/>
      <c r="R35" s="1"/>
      <c r="X35" s="8">
        <f t="shared" si="11"/>
        <v>-195.84</v>
      </c>
      <c r="Y35" s="8">
        <f t="shared" si="12"/>
        <v>0</v>
      </c>
      <c r="Z35" s="8">
        <f t="shared" si="13"/>
        <v>-195.84</v>
      </c>
    </row>
    <row r="36" spans="2:26" x14ac:dyDescent="0.25">
      <c r="B36" s="2" t="s">
        <v>299</v>
      </c>
      <c r="C36" s="6" t="s">
        <v>361</v>
      </c>
      <c r="H36" s="9">
        <v>-46250.48</v>
      </c>
      <c r="I36" s="9">
        <v>0</v>
      </c>
      <c r="J36" s="8">
        <f>H36+I36</f>
        <v>-46250.48</v>
      </c>
      <c r="L36" s="1"/>
      <c r="M36" s="1"/>
      <c r="N36" s="1"/>
      <c r="X36" s="8">
        <f t="shared" si="11"/>
        <v>-46250.48</v>
      </c>
      <c r="Y36" s="8">
        <f t="shared" si="12"/>
        <v>0</v>
      </c>
      <c r="Z36" s="8">
        <f t="shared" si="13"/>
        <v>-46250.48</v>
      </c>
    </row>
    <row r="37" spans="2:26" x14ac:dyDescent="0.25">
      <c r="B37" s="2" t="s">
        <v>297</v>
      </c>
      <c r="C37" s="6" t="s">
        <v>352</v>
      </c>
      <c r="L37" s="1"/>
      <c r="M37" s="1"/>
      <c r="N37" s="1"/>
      <c r="P37" s="9">
        <v>-104816.29</v>
      </c>
      <c r="Q37" s="9">
        <v>0</v>
      </c>
      <c r="R37" s="8">
        <f>P37+Q37</f>
        <v>-104816.29</v>
      </c>
      <c r="X37" s="8">
        <f t="shared" si="11"/>
        <v>-104816.29</v>
      </c>
      <c r="Y37" s="8">
        <f t="shared" si="12"/>
        <v>0</v>
      </c>
      <c r="Z37" s="8">
        <f t="shared" si="13"/>
        <v>-104816.29</v>
      </c>
    </row>
    <row r="38" spans="2:26" x14ac:dyDescent="0.25">
      <c r="B38" s="2" t="s">
        <v>330</v>
      </c>
      <c r="C38" s="6" t="s">
        <v>355</v>
      </c>
      <c r="H38" s="9">
        <v>-1690</v>
      </c>
      <c r="I38" s="9">
        <v>0</v>
      </c>
      <c r="J38" s="8">
        <f>H38+I38</f>
        <v>-1690</v>
      </c>
      <c r="L38" s="1"/>
      <c r="M38" s="1"/>
      <c r="N38" s="1"/>
      <c r="X38" s="8">
        <f t="shared" si="11"/>
        <v>-1690</v>
      </c>
      <c r="Y38" s="8">
        <f t="shared" si="12"/>
        <v>0</v>
      </c>
      <c r="Z38" s="8">
        <f t="shared" si="13"/>
        <v>-1690</v>
      </c>
    </row>
    <row r="39" spans="2:26" x14ac:dyDescent="0.25">
      <c r="B39" s="2" t="s">
        <v>592</v>
      </c>
      <c r="C39" s="6" t="s">
        <v>353</v>
      </c>
      <c r="D39" s="9">
        <f>-52500+2778.39</f>
        <v>-49721.61</v>
      </c>
      <c r="E39" s="9">
        <v>0</v>
      </c>
      <c r="F39" s="8">
        <f>D39+E39</f>
        <v>-49721.61</v>
      </c>
      <c r="H39" s="1"/>
      <c r="I39" s="1"/>
      <c r="J39" s="1"/>
      <c r="L39" s="1"/>
      <c r="M39" s="1"/>
      <c r="N39" s="1"/>
      <c r="X39" s="8">
        <f t="shared" si="11"/>
        <v>-49721.61</v>
      </c>
      <c r="Y39" s="8">
        <f t="shared" si="12"/>
        <v>0</v>
      </c>
      <c r="Z39" s="8">
        <f t="shared" si="13"/>
        <v>-49721.61</v>
      </c>
    </row>
    <row r="40" spans="2:26" x14ac:dyDescent="0.25">
      <c r="B40" s="2" t="s">
        <v>305</v>
      </c>
      <c r="C40" s="6" t="s">
        <v>350</v>
      </c>
      <c r="L40" s="1"/>
      <c r="M40" s="1"/>
      <c r="N40" s="1"/>
      <c r="P40" s="9">
        <v>-118386.15</v>
      </c>
      <c r="Q40" s="9">
        <v>0</v>
      </c>
      <c r="R40" s="8">
        <f>P40+Q40</f>
        <v>-118386.15</v>
      </c>
      <c r="X40" s="8">
        <f t="shared" si="11"/>
        <v>-118386.15</v>
      </c>
      <c r="Y40" s="8">
        <f t="shared" si="12"/>
        <v>0</v>
      </c>
      <c r="Z40" s="8">
        <f t="shared" si="13"/>
        <v>-118386.15</v>
      </c>
    </row>
    <row r="41" spans="2:26" x14ac:dyDescent="0.25">
      <c r="B41" s="2" t="s">
        <v>306</v>
      </c>
      <c r="C41" s="6" t="s">
        <v>354</v>
      </c>
      <c r="H41" s="9">
        <v>-1300</v>
      </c>
      <c r="I41" s="9">
        <v>0</v>
      </c>
      <c r="J41" s="8">
        <f>H41+I41</f>
        <v>-1300</v>
      </c>
      <c r="L41" s="1"/>
      <c r="M41" s="1"/>
      <c r="N41" s="1"/>
      <c r="P41" s="21"/>
      <c r="Q41" s="22"/>
      <c r="R41" s="22"/>
      <c r="X41" s="8">
        <f t="shared" si="11"/>
        <v>-1300</v>
      </c>
      <c r="Y41" s="8">
        <f t="shared" si="12"/>
        <v>0</v>
      </c>
      <c r="Z41" s="8">
        <f t="shared" si="13"/>
        <v>-1300</v>
      </c>
    </row>
    <row r="42" spans="2:26" x14ac:dyDescent="0.25">
      <c r="B42" s="2" t="s">
        <v>591</v>
      </c>
      <c r="C42" s="6" t="s">
        <v>365</v>
      </c>
      <c r="H42" s="9">
        <v>0</v>
      </c>
      <c r="I42" s="9">
        <v>0</v>
      </c>
      <c r="J42" s="8">
        <f>H42+I42</f>
        <v>0</v>
      </c>
      <c r="P42" s="9">
        <v>-13225</v>
      </c>
      <c r="Q42" s="9">
        <v>0</v>
      </c>
      <c r="R42" s="8">
        <f>P42+Q42</f>
        <v>-13225</v>
      </c>
      <c r="X42" s="8">
        <f t="shared" si="11"/>
        <v>-13225</v>
      </c>
      <c r="Y42" s="8">
        <f t="shared" si="12"/>
        <v>0</v>
      </c>
      <c r="Z42" s="8">
        <f t="shared" si="13"/>
        <v>-13225</v>
      </c>
    </row>
    <row r="43" spans="2:26" ht="15.75" thickBot="1" x14ac:dyDescent="0.3">
      <c r="B43" s="2" t="s">
        <v>328</v>
      </c>
      <c r="C43" s="6" t="s">
        <v>351</v>
      </c>
      <c r="H43" s="9">
        <v>0</v>
      </c>
      <c r="I43" s="9">
        <v>0</v>
      </c>
      <c r="J43" s="8">
        <f>H43+I43</f>
        <v>0</v>
      </c>
      <c r="P43" s="14">
        <v>0</v>
      </c>
      <c r="Q43" s="14">
        <v>0</v>
      </c>
      <c r="R43" s="15">
        <f>P43+Q43</f>
        <v>0</v>
      </c>
      <c r="X43" s="15">
        <f t="shared" si="11"/>
        <v>0</v>
      </c>
      <c r="Y43" s="15">
        <f t="shared" si="12"/>
        <v>0</v>
      </c>
      <c r="Z43" s="15">
        <f t="shared" si="13"/>
        <v>0</v>
      </c>
    </row>
    <row r="44" spans="2:26" x14ac:dyDescent="0.25">
      <c r="B44" s="2" t="s">
        <v>31</v>
      </c>
      <c r="C44" s="2"/>
      <c r="D44" s="26">
        <f>SUM(D32:D43)</f>
        <v>-49721.61</v>
      </c>
      <c r="E44" s="26">
        <f>SUM(E32:E43)</f>
        <v>0</v>
      </c>
      <c r="F44" s="26">
        <f>D44+E44</f>
        <v>-49721.61</v>
      </c>
      <c r="H44" s="26">
        <f>SUM(H32:H43)</f>
        <v>-49436.32</v>
      </c>
      <c r="I44" s="26">
        <f>SUM(I32:I43)</f>
        <v>0</v>
      </c>
      <c r="J44" s="26">
        <f>H44+I44</f>
        <v>-49436.32</v>
      </c>
      <c r="L44" s="26">
        <f>SUM(L32:L43)</f>
        <v>-80000</v>
      </c>
      <c r="M44" s="26">
        <f>SUM(M32:M43)</f>
        <v>0</v>
      </c>
      <c r="N44" s="26">
        <f>L44+M44</f>
        <v>-80000</v>
      </c>
      <c r="P44" s="26">
        <f>SUM(P32:P43)</f>
        <v>-632571.18999999994</v>
      </c>
      <c r="Q44" s="26">
        <f>SUM(Q32:Q43)</f>
        <v>0</v>
      </c>
      <c r="R44" s="26">
        <f>P44+Q44</f>
        <v>-632571.18999999994</v>
      </c>
      <c r="S44" s="1"/>
      <c r="T44" s="26">
        <f>SUM(T32:T43)</f>
        <v>-3001.5</v>
      </c>
      <c r="U44" s="26">
        <f>SUM(U32:U43)</f>
        <v>0</v>
      </c>
      <c r="V44" s="26">
        <f>T44+U44</f>
        <v>-3001.5</v>
      </c>
      <c r="X44" s="26">
        <f>SUM(X32:X43)</f>
        <v>-814730.62000000011</v>
      </c>
      <c r="Y44" s="26">
        <f>SUM(Y32:Y43)</f>
        <v>0</v>
      </c>
      <c r="Z44" s="26">
        <f t="shared" si="13"/>
        <v>-814730.62000000011</v>
      </c>
    </row>
    <row r="45" spans="2:26" x14ac:dyDescent="0.25">
      <c r="D45" s="1"/>
      <c r="E45" s="1"/>
      <c r="F45" s="1"/>
      <c r="I45" s="1"/>
      <c r="J45" s="1"/>
      <c r="L45" s="1"/>
      <c r="M45" s="1"/>
      <c r="N45" s="1"/>
      <c r="P45" s="1"/>
      <c r="R45" s="1"/>
      <c r="U45" s="1"/>
      <c r="V45" s="1"/>
      <c r="X45" s="1"/>
    </row>
    <row r="46" spans="2:26" x14ac:dyDescent="0.25">
      <c r="B46" s="5" t="s">
        <v>10</v>
      </c>
      <c r="C46" s="5"/>
      <c r="D46" s="1"/>
      <c r="E46" s="1"/>
      <c r="F46" s="1"/>
      <c r="L46" s="1"/>
      <c r="M46" s="1"/>
      <c r="N46" s="1"/>
    </row>
    <row r="47" spans="2:26" x14ac:dyDescent="0.25">
      <c r="B47" s="2" t="s">
        <v>7</v>
      </c>
      <c r="T47" s="9">
        <v>0</v>
      </c>
      <c r="U47" s="8">
        <f>-T47</f>
        <v>0</v>
      </c>
      <c r="V47" s="8">
        <f>T47+U47</f>
        <v>0</v>
      </c>
      <c r="X47" s="8">
        <f t="shared" ref="X47:Y54" si="14">D47+H47+L47+P47+T47</f>
        <v>0</v>
      </c>
      <c r="Y47" s="8">
        <f t="shared" si="14"/>
        <v>0</v>
      </c>
      <c r="Z47" s="8">
        <f t="shared" ref="Z47:Z55" si="15">X47+Y47</f>
        <v>0</v>
      </c>
    </row>
    <row r="48" spans="2:26" x14ac:dyDescent="0.25">
      <c r="B48" s="2" t="s">
        <v>52</v>
      </c>
      <c r="P48" s="9">
        <v>0</v>
      </c>
      <c r="Q48" s="9">
        <f>-T48</f>
        <v>6998.5</v>
      </c>
      <c r="R48" s="8">
        <f>P48+Q48</f>
        <v>6998.5</v>
      </c>
      <c r="T48" s="9">
        <v>-6998.5</v>
      </c>
      <c r="U48" s="8">
        <v>0</v>
      </c>
      <c r="V48" s="8">
        <f>T48+U48</f>
        <v>-6998.5</v>
      </c>
      <c r="X48" s="8">
        <f t="shared" si="14"/>
        <v>-6998.5</v>
      </c>
      <c r="Y48" s="8">
        <f t="shared" si="14"/>
        <v>6998.5</v>
      </c>
      <c r="Z48" s="8">
        <f t="shared" si="15"/>
        <v>0</v>
      </c>
    </row>
    <row r="49" spans="2:26" x14ac:dyDescent="0.25">
      <c r="B49" s="2" t="s">
        <v>268</v>
      </c>
      <c r="C49" s="6" t="s">
        <v>17</v>
      </c>
      <c r="P49" s="9">
        <v>0</v>
      </c>
      <c r="Q49" s="9">
        <f>-P49</f>
        <v>0</v>
      </c>
      <c r="R49" s="8">
        <f>P49+Q49</f>
        <v>0</v>
      </c>
      <c r="X49" s="8">
        <f t="shared" si="14"/>
        <v>0</v>
      </c>
      <c r="Y49" s="8">
        <f t="shared" si="14"/>
        <v>0</v>
      </c>
      <c r="Z49" s="8">
        <f t="shared" si="15"/>
        <v>0</v>
      </c>
    </row>
    <row r="50" spans="2:26" x14ac:dyDescent="0.25">
      <c r="B50" s="2" t="s">
        <v>329</v>
      </c>
      <c r="C50" s="6" t="s">
        <v>358</v>
      </c>
      <c r="H50" s="9">
        <v>-10278.64</v>
      </c>
      <c r="I50" s="9">
        <f>-H50</f>
        <v>10278.64</v>
      </c>
      <c r="J50" s="8">
        <f>H50+I50</f>
        <v>0</v>
      </c>
      <c r="X50" s="8">
        <f t="shared" si="14"/>
        <v>-10278.64</v>
      </c>
      <c r="Y50" s="8">
        <f t="shared" si="14"/>
        <v>10278.64</v>
      </c>
      <c r="Z50" s="8">
        <f t="shared" si="15"/>
        <v>0</v>
      </c>
    </row>
    <row r="51" spans="2:26" x14ac:dyDescent="0.25">
      <c r="B51" s="2" t="s">
        <v>275</v>
      </c>
      <c r="C51" s="6" t="s">
        <v>375</v>
      </c>
      <c r="P51" s="9">
        <v>-48120</v>
      </c>
      <c r="Q51" s="9">
        <f>-P51</f>
        <v>48120</v>
      </c>
      <c r="R51" s="8">
        <f>P51+Q51</f>
        <v>0</v>
      </c>
      <c r="X51" s="8">
        <f t="shared" si="14"/>
        <v>-48120</v>
      </c>
      <c r="Y51" s="8">
        <f t="shared" si="14"/>
        <v>48120</v>
      </c>
      <c r="Z51" s="8">
        <f t="shared" si="15"/>
        <v>0</v>
      </c>
    </row>
    <row r="52" spans="2:26" x14ac:dyDescent="0.25">
      <c r="B52" s="2" t="s">
        <v>297</v>
      </c>
      <c r="C52" s="6" t="s">
        <v>352</v>
      </c>
      <c r="P52" s="9">
        <v>-4183.71</v>
      </c>
      <c r="Q52" s="9">
        <f>-P52</f>
        <v>4183.71</v>
      </c>
      <c r="R52" s="8">
        <f>P52+Q52</f>
        <v>0</v>
      </c>
      <c r="X52" s="8">
        <f t="shared" si="14"/>
        <v>-4183.71</v>
      </c>
      <c r="Y52" s="8">
        <f t="shared" si="14"/>
        <v>4183.71</v>
      </c>
      <c r="Z52" s="8">
        <f t="shared" si="15"/>
        <v>0</v>
      </c>
    </row>
    <row r="53" spans="2:26" x14ac:dyDescent="0.25">
      <c r="B53" s="2" t="s">
        <v>592</v>
      </c>
      <c r="C53" s="6" t="s">
        <v>353</v>
      </c>
      <c r="D53" s="9">
        <v>-2778.39</v>
      </c>
      <c r="E53" s="9">
        <f>-D53</f>
        <v>2778.39</v>
      </c>
      <c r="F53" s="8">
        <f>D53+E53</f>
        <v>0</v>
      </c>
      <c r="P53" s="21"/>
      <c r="Q53" s="21"/>
      <c r="R53" s="21"/>
      <c r="X53" s="8">
        <f t="shared" si="14"/>
        <v>-2778.39</v>
      </c>
      <c r="Y53" s="8">
        <f t="shared" si="14"/>
        <v>2778.39</v>
      </c>
      <c r="Z53" s="8">
        <f t="shared" si="15"/>
        <v>0</v>
      </c>
    </row>
    <row r="54" spans="2:26" ht="15.75" thickBot="1" x14ac:dyDescent="0.3">
      <c r="B54" s="2" t="s">
        <v>305</v>
      </c>
      <c r="C54" s="6" t="s">
        <v>350</v>
      </c>
      <c r="P54" s="14">
        <v>-41613.85</v>
      </c>
      <c r="Q54" s="14">
        <f>-P54</f>
        <v>41613.85</v>
      </c>
      <c r="R54" s="15">
        <f>P54+Q54</f>
        <v>0</v>
      </c>
      <c r="X54" s="8">
        <f t="shared" si="14"/>
        <v>-41613.85</v>
      </c>
      <c r="Y54" s="8">
        <f t="shared" si="14"/>
        <v>41613.85</v>
      </c>
      <c r="Z54" s="8">
        <f t="shared" si="15"/>
        <v>0</v>
      </c>
    </row>
    <row r="55" spans="2:26" x14ac:dyDescent="0.25">
      <c r="B55" s="2" t="s">
        <v>39</v>
      </c>
      <c r="C55" s="2"/>
      <c r="D55" s="26">
        <f>SUM(D47:D54)</f>
        <v>-2778.39</v>
      </c>
      <c r="E55" s="26">
        <f>SUM(E47:E54)</f>
        <v>2778.39</v>
      </c>
      <c r="F55" s="26">
        <f>D55+E55</f>
        <v>0</v>
      </c>
      <c r="H55" s="26">
        <f>SUM(H47:H54)</f>
        <v>-10278.64</v>
      </c>
      <c r="I55" s="26">
        <f>SUM(I47:I54)</f>
        <v>10278.64</v>
      </c>
      <c r="J55" s="26">
        <f>H55+I55</f>
        <v>0</v>
      </c>
      <c r="L55" s="26">
        <f>SUM(L47:L54)</f>
        <v>0</v>
      </c>
      <c r="M55" s="26">
        <f>SUM(M47:M54)</f>
        <v>0</v>
      </c>
      <c r="N55" s="26">
        <f>L55+M55</f>
        <v>0</v>
      </c>
      <c r="P55" s="26">
        <f>SUM(P47:P54)</f>
        <v>-93917.56</v>
      </c>
      <c r="Q55" s="26">
        <f>SUM(Q47:Q54)</f>
        <v>100916.06</v>
      </c>
      <c r="R55" s="26">
        <f>P55+Q55</f>
        <v>6998.5</v>
      </c>
      <c r="S55" s="1"/>
      <c r="T55" s="26">
        <f>SUM(T47:T54)</f>
        <v>-6998.5</v>
      </c>
      <c r="U55" s="26">
        <f>SUM(U47:U54)</f>
        <v>0</v>
      </c>
      <c r="V55" s="26">
        <f>T55+U55</f>
        <v>-6998.5</v>
      </c>
      <c r="X55" s="26">
        <f>SUM(X47:X54)</f>
        <v>-113973.09</v>
      </c>
      <c r="Y55" s="26">
        <f>SUM(Y47:Y54)</f>
        <v>113973.09</v>
      </c>
      <c r="Z55" s="26">
        <f t="shared" si="15"/>
        <v>0</v>
      </c>
    </row>
    <row r="56" spans="2:26" x14ac:dyDescent="0.25">
      <c r="L56" s="1"/>
      <c r="M56" s="1"/>
      <c r="N56" s="1"/>
      <c r="P56" s="1"/>
      <c r="Q56" s="1"/>
      <c r="R56" s="1"/>
    </row>
    <row r="57" spans="2:26" x14ac:dyDescent="0.25">
      <c r="B57" s="2" t="s">
        <v>283</v>
      </c>
      <c r="C57" s="2"/>
      <c r="D57" s="8">
        <f>D7+D15+D25+D29+D44+D55</f>
        <v>0</v>
      </c>
      <c r="E57" s="8">
        <f>E7+E15+E25+E29+E44+E55</f>
        <v>414644.67</v>
      </c>
      <c r="F57" s="8">
        <f>D57+E57</f>
        <v>414644.67</v>
      </c>
      <c r="H57" s="8">
        <f>H7+H15+H25+H29+H44+H55</f>
        <v>161658.20000000001</v>
      </c>
      <c r="I57" s="8">
        <f>I7+I15+I25+I29+I44+I55</f>
        <v>32650.460000000006</v>
      </c>
      <c r="J57" s="8">
        <f>H57+I57</f>
        <v>194308.66000000003</v>
      </c>
      <c r="L57" s="8">
        <f>L7+L15+L25+L29+L44+L55</f>
        <v>0</v>
      </c>
      <c r="M57" s="8">
        <f>M7+M15+M25+M29+M44+M55</f>
        <v>37290.75</v>
      </c>
      <c r="N57" s="8">
        <f>L57+M57</f>
        <v>37290.75</v>
      </c>
      <c r="P57" s="8">
        <f>P7+P15+P25+P29+P44+P55</f>
        <v>76846.000000000058</v>
      </c>
      <c r="Q57" s="8">
        <f>Q7+Q15+Q25+Q29+Q44+Q55</f>
        <v>395381.36000000004</v>
      </c>
      <c r="R57" s="8">
        <f>P57+Q57</f>
        <v>472227.3600000001</v>
      </c>
      <c r="T57" s="8">
        <f>T7+T15+T25+T29+T44+T55</f>
        <v>0</v>
      </c>
      <c r="U57" s="8">
        <f>U7+U15+U25+U29+U44+U55</f>
        <v>0</v>
      </c>
      <c r="V57" s="8">
        <f>T57+U57</f>
        <v>0</v>
      </c>
      <c r="X57" s="8">
        <f>D57+H57+L57+P57+T57</f>
        <v>238504.20000000007</v>
      </c>
      <c r="Y57" s="8">
        <f>E57+I57+M57+Q57+U57</f>
        <v>879967.24</v>
      </c>
      <c r="Z57" s="8">
        <f>X57+Y57</f>
        <v>1118471.44</v>
      </c>
    </row>
    <row r="58" spans="2:26" x14ac:dyDescent="0.25">
      <c r="L58" s="1"/>
      <c r="M58" s="1"/>
      <c r="N58" s="1"/>
      <c r="P58" s="1"/>
      <c r="Q58" s="1"/>
      <c r="R58" s="1"/>
    </row>
    <row r="59" spans="2:26" x14ac:dyDescent="0.25">
      <c r="B59" s="5" t="s">
        <v>284</v>
      </c>
      <c r="C59" s="5"/>
      <c r="L59" s="1"/>
      <c r="M59" s="1"/>
      <c r="N59" s="1"/>
      <c r="P59" s="1"/>
    </row>
    <row r="60" spans="2:26" ht="15.75" thickBot="1" x14ac:dyDescent="0.3">
      <c r="B60" s="2" t="s">
        <v>244</v>
      </c>
      <c r="C60" s="2"/>
      <c r="D60" s="14">
        <v>0</v>
      </c>
      <c r="E60" s="14">
        <v>0</v>
      </c>
      <c r="F60" s="8">
        <f>D60+E60</f>
        <v>0</v>
      </c>
      <c r="H60" s="14">
        <v>0</v>
      </c>
      <c r="I60" s="14">
        <v>0</v>
      </c>
      <c r="J60" s="12">
        <f>H60+I60</f>
        <v>0</v>
      </c>
      <c r="L60" s="14">
        <v>0</v>
      </c>
      <c r="M60" s="14">
        <v>0</v>
      </c>
      <c r="N60" s="8">
        <f>L60+M60</f>
        <v>0</v>
      </c>
      <c r="P60" s="14">
        <v>0</v>
      </c>
      <c r="Q60" s="14">
        <v>0</v>
      </c>
      <c r="R60" s="8">
        <f>P60+Q60</f>
        <v>0</v>
      </c>
      <c r="T60" s="14">
        <v>0</v>
      </c>
      <c r="U60" s="14">
        <v>0</v>
      </c>
      <c r="V60" s="8">
        <f>T60+U60</f>
        <v>0</v>
      </c>
      <c r="X60" s="8">
        <f>D60+H60+L60+P60+T60</f>
        <v>0</v>
      </c>
      <c r="Y60" s="8">
        <f>E60+I60+M60+Q60+U60</f>
        <v>0</v>
      </c>
      <c r="Z60" s="8">
        <f>X60+Y60</f>
        <v>0</v>
      </c>
    </row>
    <row r="61" spans="2:26" x14ac:dyDescent="0.25">
      <c r="B61" s="2" t="s">
        <v>285</v>
      </c>
      <c r="C61" s="2"/>
      <c r="D61" s="26">
        <f>SUM(D60:D60)</f>
        <v>0</v>
      </c>
      <c r="E61" s="26">
        <f>SUM(E60:E60)</f>
        <v>0</v>
      </c>
      <c r="F61" s="26">
        <f>D61+E61</f>
        <v>0</v>
      </c>
      <c r="H61" s="26">
        <f>SUM(H60:H60)</f>
        <v>0</v>
      </c>
      <c r="I61" s="26">
        <f>SUM(I60:I60)</f>
        <v>0</v>
      </c>
      <c r="J61" s="26">
        <f>H61+I61</f>
        <v>0</v>
      </c>
      <c r="L61" s="26">
        <f>SUM(L60:L60)</f>
        <v>0</v>
      </c>
      <c r="M61" s="26">
        <f>SUM(M60:M60)</f>
        <v>0</v>
      </c>
      <c r="N61" s="26">
        <f>L61+M61</f>
        <v>0</v>
      </c>
      <c r="P61" s="26">
        <f>SUM(P60:P60)</f>
        <v>0</v>
      </c>
      <c r="Q61" s="26">
        <f>SUM(Q60:Q60)</f>
        <v>0</v>
      </c>
      <c r="R61" s="26">
        <f>P61+Q61</f>
        <v>0</v>
      </c>
      <c r="S61" s="1"/>
      <c r="T61" s="26">
        <f>SUM(T60:T60)</f>
        <v>0</v>
      </c>
      <c r="U61" s="26">
        <f>SUM(U60:U60)</f>
        <v>0</v>
      </c>
      <c r="V61" s="26">
        <f>T61+U61</f>
        <v>0</v>
      </c>
      <c r="X61" s="26">
        <f>D61+H61+L61+P61+T61</f>
        <v>0</v>
      </c>
      <c r="Y61" s="26">
        <f>E61+I61+M61+Q61+U61</f>
        <v>0</v>
      </c>
      <c r="Z61" s="26">
        <f>X61+Y61</f>
        <v>0</v>
      </c>
    </row>
    <row r="62" spans="2:26" x14ac:dyDescent="0.25">
      <c r="B62" s="2"/>
      <c r="C62" s="2"/>
    </row>
    <row r="63" spans="2:26" ht="15.75" thickBot="1" x14ac:dyDescent="0.3">
      <c r="B63" s="2" t="s">
        <v>286</v>
      </c>
      <c r="C63" s="2"/>
      <c r="D63" s="17">
        <f>ROUND(D57+D61,2)</f>
        <v>0</v>
      </c>
      <c r="E63" s="17">
        <f>ROUND(E57+E61,2)</f>
        <v>414644.67</v>
      </c>
      <c r="F63" s="17">
        <f>D63+E63</f>
        <v>414644.67</v>
      </c>
      <c r="H63" s="17">
        <f>ROUND(H57+H61,2)</f>
        <v>161658.20000000001</v>
      </c>
      <c r="I63" s="17">
        <f>ROUND(I57+I61,2)</f>
        <v>32650.46</v>
      </c>
      <c r="J63" s="17">
        <f>H63+I63</f>
        <v>194308.66</v>
      </c>
      <c r="L63" s="17">
        <f>ROUND(L57+L61,2)</f>
        <v>0</v>
      </c>
      <c r="M63" s="17">
        <f>ROUND(M57+M61,2)</f>
        <v>37290.75</v>
      </c>
      <c r="N63" s="17">
        <f>L63+M63</f>
        <v>37290.75</v>
      </c>
      <c r="P63" s="17">
        <f>ROUND(P57+P61,2)</f>
        <v>76846</v>
      </c>
      <c r="Q63" s="17">
        <f>ROUND(Q57+Q61,2)</f>
        <v>395381.36</v>
      </c>
      <c r="R63" s="17">
        <f>P63+Q63</f>
        <v>472227.36</v>
      </c>
      <c r="T63" s="17">
        <f>ROUND(T57+T61,2)</f>
        <v>0</v>
      </c>
      <c r="U63" s="17">
        <f>ROUND(U57+U61,2)</f>
        <v>0</v>
      </c>
      <c r="V63" s="17">
        <f>T63+U63</f>
        <v>0</v>
      </c>
      <c r="X63" s="17">
        <f>D63+H63+L63+P63+T63</f>
        <v>238504.2</v>
      </c>
      <c r="Y63" s="17">
        <f>E63+I63+M63+Q63+U63</f>
        <v>879967.24</v>
      </c>
      <c r="Z63" s="17">
        <f>X63+Y63</f>
        <v>1118471.44</v>
      </c>
    </row>
    <row r="64" spans="2:26" ht="15.75" thickTop="1" x14ac:dyDescent="0.25"/>
    <row r="65" spans="1:26" x14ac:dyDescent="0.25">
      <c r="B65" s="2"/>
      <c r="C65" s="2"/>
      <c r="H65" s="1"/>
    </row>
    <row r="66" spans="1:26" x14ac:dyDescent="0.25">
      <c r="A66" s="35" t="s">
        <v>54</v>
      </c>
      <c r="B66" s="35"/>
      <c r="C66" s="19"/>
    </row>
    <row r="68" spans="1:26" x14ac:dyDescent="0.25">
      <c r="B68" s="5" t="s">
        <v>287</v>
      </c>
      <c r="C68" s="5"/>
      <c r="T68" s="1"/>
    </row>
    <row r="69" spans="1:26" x14ac:dyDescent="0.25">
      <c r="B69" s="2" t="s">
        <v>723</v>
      </c>
      <c r="C69" s="2"/>
      <c r="D69" s="9">
        <v>0</v>
      </c>
      <c r="E69" s="9">
        <f>550000/10</f>
        <v>55000</v>
      </c>
      <c r="F69" s="8">
        <f>D69+E69</f>
        <v>55000</v>
      </c>
      <c r="H69" s="9">
        <v>0</v>
      </c>
      <c r="I69" s="9">
        <f>550000/10</f>
        <v>55000</v>
      </c>
      <c r="J69" s="8">
        <f>H69+I69</f>
        <v>55000</v>
      </c>
      <c r="L69" s="9">
        <v>0</v>
      </c>
      <c r="M69" s="9">
        <f>550000/10</f>
        <v>55000</v>
      </c>
      <c r="N69" s="8">
        <f>L69+M69</f>
        <v>55000</v>
      </c>
      <c r="P69" s="9">
        <v>0</v>
      </c>
      <c r="Q69" s="9">
        <f>550000-E69-I69-M69</f>
        <v>385000</v>
      </c>
      <c r="R69" s="8">
        <f>P69+Q69</f>
        <v>385000</v>
      </c>
      <c r="T69" s="1"/>
      <c r="U69" s="1"/>
      <c r="V69" s="1"/>
      <c r="X69" s="8">
        <f t="shared" ref="X69:Z72" si="16">D69+H69+L69+P69+T69</f>
        <v>0</v>
      </c>
      <c r="Y69" s="8">
        <f t="shared" si="16"/>
        <v>550000</v>
      </c>
      <c r="Z69" s="8">
        <f t="shared" si="16"/>
        <v>550000</v>
      </c>
    </row>
    <row r="70" spans="1:26" x14ac:dyDescent="0.25">
      <c r="B70" s="2" t="s">
        <v>288</v>
      </c>
      <c r="C70" s="2"/>
      <c r="D70" s="9">
        <v>0</v>
      </c>
      <c r="E70" s="9">
        <f>55000*0.18</f>
        <v>9900</v>
      </c>
      <c r="F70" s="8">
        <f>D70+E70</f>
        <v>9900</v>
      </c>
      <c r="H70" s="9">
        <v>0</v>
      </c>
      <c r="I70" s="9">
        <f>55000*0.18</f>
        <v>9900</v>
      </c>
      <c r="J70" s="8">
        <f>H70+I70</f>
        <v>9900</v>
      </c>
      <c r="L70" s="9">
        <v>0</v>
      </c>
      <c r="M70" s="9">
        <f>55000*0.18</f>
        <v>9900</v>
      </c>
      <c r="N70" s="8">
        <f>L70+M70</f>
        <v>9900</v>
      </c>
      <c r="P70" s="9">
        <v>0</v>
      </c>
      <c r="Q70" s="9">
        <f>550000*0.18-E70-I70-M70</f>
        <v>69300</v>
      </c>
      <c r="R70" s="8">
        <f>P70+Q70</f>
        <v>69300</v>
      </c>
      <c r="X70" s="8">
        <f t="shared" si="16"/>
        <v>0</v>
      </c>
      <c r="Y70" s="8">
        <f t="shared" si="16"/>
        <v>99000</v>
      </c>
      <c r="Z70" s="8">
        <f t="shared" si="16"/>
        <v>99000</v>
      </c>
    </row>
    <row r="71" spans="1:26" ht="15.75" thickBot="1" x14ac:dyDescent="0.3">
      <c r="B71" s="2" t="s">
        <v>289</v>
      </c>
      <c r="C71" s="2"/>
      <c r="D71" s="14">
        <v>0</v>
      </c>
      <c r="E71" s="14">
        <f>1000/10</f>
        <v>100</v>
      </c>
      <c r="F71" s="15">
        <f>D71+E71</f>
        <v>100</v>
      </c>
      <c r="H71" s="14">
        <v>0</v>
      </c>
      <c r="I71" s="14">
        <f>1000/10</f>
        <v>100</v>
      </c>
      <c r="J71" s="15">
        <f>H71+I71</f>
        <v>100</v>
      </c>
      <c r="L71" s="14">
        <v>0</v>
      </c>
      <c r="M71" s="14">
        <f>1000/10</f>
        <v>100</v>
      </c>
      <c r="N71" s="15">
        <f>L71+M71</f>
        <v>100</v>
      </c>
      <c r="P71" s="14">
        <v>0</v>
      </c>
      <c r="Q71" s="14">
        <f>1000-E71-I71-M71</f>
        <v>700</v>
      </c>
      <c r="R71" s="15">
        <f>P71+Q71</f>
        <v>700</v>
      </c>
      <c r="X71" s="15">
        <f t="shared" si="16"/>
        <v>0</v>
      </c>
      <c r="Y71" s="15">
        <f t="shared" si="16"/>
        <v>1000</v>
      </c>
      <c r="Z71" s="15">
        <f t="shared" si="16"/>
        <v>1000</v>
      </c>
    </row>
    <row r="72" spans="1:26" x14ac:dyDescent="0.25">
      <c r="B72" s="2" t="s">
        <v>290</v>
      </c>
      <c r="C72" s="2"/>
      <c r="D72" s="26">
        <f>SUM(D69:D71)</f>
        <v>0</v>
      </c>
      <c r="E72" s="26">
        <f>SUM(E69:E71)</f>
        <v>65000</v>
      </c>
      <c r="F72" s="26">
        <f>D72+E72</f>
        <v>65000</v>
      </c>
      <c r="H72" s="26">
        <f>SUM(H69:H71)</f>
        <v>0</v>
      </c>
      <c r="I72" s="26">
        <f>SUM(I69:I71)</f>
        <v>65000</v>
      </c>
      <c r="J72" s="26">
        <f>H72+I72</f>
        <v>65000</v>
      </c>
      <c r="L72" s="26">
        <f>SUM(L69:L71)</f>
        <v>0</v>
      </c>
      <c r="M72" s="26">
        <f>SUM(M69:M71)</f>
        <v>65000</v>
      </c>
      <c r="N72" s="26">
        <f>L72+M72</f>
        <v>65000</v>
      </c>
      <c r="P72" s="26">
        <f>SUM(P69:P71)</f>
        <v>0</v>
      </c>
      <c r="Q72" s="26">
        <f>SUM(Q69:Q71)</f>
        <v>455000</v>
      </c>
      <c r="R72" s="26">
        <f>P72+Q72</f>
        <v>455000</v>
      </c>
      <c r="S72" s="1"/>
      <c r="T72" s="26">
        <f>SUM(T69:T71)</f>
        <v>0</v>
      </c>
      <c r="U72" s="26">
        <f>SUM(U69:U71)</f>
        <v>0</v>
      </c>
      <c r="V72" s="26">
        <f>T72+U72</f>
        <v>0</v>
      </c>
      <c r="X72" s="26">
        <f t="shared" si="16"/>
        <v>0</v>
      </c>
      <c r="Y72" s="26">
        <f t="shared" si="16"/>
        <v>650000</v>
      </c>
      <c r="Z72" s="26">
        <f t="shared" si="16"/>
        <v>650000</v>
      </c>
    </row>
    <row r="73" spans="1:26" x14ac:dyDescent="0.25">
      <c r="B73" s="2"/>
      <c r="C73" s="2"/>
    </row>
    <row r="74" spans="1:26" x14ac:dyDescent="0.25">
      <c r="B74" s="5" t="s">
        <v>291</v>
      </c>
      <c r="C74" s="5"/>
      <c r="T74" s="1"/>
    </row>
    <row r="75" spans="1:26" x14ac:dyDescent="0.25">
      <c r="B75" s="2" t="s">
        <v>86</v>
      </c>
      <c r="C75" s="2"/>
      <c r="H75" s="1"/>
      <c r="I75" s="1"/>
      <c r="J75" s="1"/>
      <c r="L75" s="1"/>
      <c r="M75" s="1"/>
      <c r="P75" s="9">
        <v>0</v>
      </c>
      <c r="Q75" s="8">
        <f>-T75</f>
        <v>-7500</v>
      </c>
      <c r="R75" s="8">
        <f>P75+Q75</f>
        <v>-7500</v>
      </c>
      <c r="T75" s="9">
        <f>2500+5000</f>
        <v>7500</v>
      </c>
      <c r="U75" s="9">
        <v>0</v>
      </c>
      <c r="V75" s="8">
        <f>T75+U75</f>
        <v>7500</v>
      </c>
      <c r="X75" s="8">
        <f t="shared" ref="X75:Z77" si="17">D75+H75+L75+P75+T75</f>
        <v>7500</v>
      </c>
      <c r="Y75" s="8">
        <f t="shared" si="17"/>
        <v>-7500</v>
      </c>
      <c r="Z75" s="8">
        <f t="shared" si="17"/>
        <v>0</v>
      </c>
    </row>
    <row r="76" spans="1:26" ht="15.75" thickBot="1" x14ac:dyDescent="0.3">
      <c r="B76" s="2" t="s">
        <v>292</v>
      </c>
      <c r="C76" s="2"/>
      <c r="L76" s="14">
        <v>65000</v>
      </c>
      <c r="M76" s="15">
        <f>-L76</f>
        <v>-65000</v>
      </c>
      <c r="N76" s="15">
        <f>L76+M76</f>
        <v>0</v>
      </c>
      <c r="P76" s="14">
        <f>476721.88-L76</f>
        <v>411721.88</v>
      </c>
      <c r="Q76" s="15">
        <f>-P76</f>
        <v>-411721.88</v>
      </c>
      <c r="R76" s="15">
        <f>P76+Q76</f>
        <v>0</v>
      </c>
      <c r="X76" s="15">
        <f t="shared" si="17"/>
        <v>476721.88</v>
      </c>
      <c r="Y76" s="15">
        <f t="shared" si="17"/>
        <v>-476721.88</v>
      </c>
      <c r="Z76" s="15">
        <f t="shared" si="17"/>
        <v>0</v>
      </c>
    </row>
    <row r="77" spans="1:26" x14ac:dyDescent="0.25">
      <c r="B77" s="2" t="s">
        <v>293</v>
      </c>
      <c r="C77" s="2"/>
      <c r="D77" s="26">
        <f>SUM(D75:D76)</f>
        <v>0</v>
      </c>
      <c r="E77" s="26">
        <f>SUM(E75:E76)</f>
        <v>0</v>
      </c>
      <c r="F77" s="26">
        <f>D77+E77</f>
        <v>0</v>
      </c>
      <c r="H77" s="26">
        <f>SUM(H75:H76)</f>
        <v>0</v>
      </c>
      <c r="I77" s="26">
        <f>SUM(I75:I76)</f>
        <v>0</v>
      </c>
      <c r="J77" s="26">
        <f>H77+I77</f>
        <v>0</v>
      </c>
      <c r="L77" s="26">
        <f>SUM(L75:L76)</f>
        <v>65000</v>
      </c>
      <c r="M77" s="26">
        <f>SUM(M75:M76)</f>
        <v>-65000</v>
      </c>
      <c r="N77" s="26">
        <f>L77+M77</f>
        <v>0</v>
      </c>
      <c r="P77" s="26">
        <f>SUM(P75:P76)</f>
        <v>411721.88</v>
      </c>
      <c r="Q77" s="26">
        <f>SUM(Q75:Q76)</f>
        <v>-419221.88</v>
      </c>
      <c r="R77" s="26">
        <f>P77+Q77</f>
        <v>-7500</v>
      </c>
      <c r="S77" s="1"/>
      <c r="T77" s="26">
        <f>SUM(T75:T76)</f>
        <v>7500</v>
      </c>
      <c r="U77" s="26">
        <f>SUM(U75:U76)</f>
        <v>0</v>
      </c>
      <c r="V77" s="26">
        <f>T77+U77</f>
        <v>7500</v>
      </c>
      <c r="X77" s="26">
        <f t="shared" si="17"/>
        <v>484221.88</v>
      </c>
      <c r="Y77" s="26">
        <f t="shared" si="17"/>
        <v>-484221.88</v>
      </c>
      <c r="Z77" s="26">
        <f t="shared" si="17"/>
        <v>0</v>
      </c>
    </row>
    <row r="78" spans="1:26" x14ac:dyDescent="0.25">
      <c r="B78" s="2"/>
      <c r="C78" s="2"/>
    </row>
    <row r="79" spans="1:26" x14ac:dyDescent="0.25">
      <c r="B79" s="2" t="s">
        <v>294</v>
      </c>
      <c r="C79" s="2"/>
      <c r="D79" s="8">
        <f>D72+D77</f>
        <v>0</v>
      </c>
      <c r="E79" s="8">
        <f>E72+E77</f>
        <v>65000</v>
      </c>
      <c r="F79" s="8">
        <f>D79+E79</f>
        <v>65000</v>
      </c>
      <c r="H79" s="8">
        <f>H72+H77</f>
        <v>0</v>
      </c>
      <c r="I79" s="8">
        <f>I72+I77</f>
        <v>65000</v>
      </c>
      <c r="J79" s="8">
        <f>H79+I79</f>
        <v>65000</v>
      </c>
      <c r="L79" s="8">
        <f>L72+L77</f>
        <v>65000</v>
      </c>
      <c r="M79" s="8">
        <f>M72+M77</f>
        <v>0</v>
      </c>
      <c r="N79" s="8">
        <f>L79+M79</f>
        <v>65000</v>
      </c>
      <c r="P79" s="8">
        <f>P72+P77</f>
        <v>411721.88</v>
      </c>
      <c r="Q79" s="8">
        <f>Q72+Q77</f>
        <v>35778.119999999995</v>
      </c>
      <c r="R79" s="8">
        <f>P79+Q79</f>
        <v>447500</v>
      </c>
      <c r="T79" s="8">
        <f>T72+T77</f>
        <v>7500</v>
      </c>
      <c r="U79" s="8">
        <f>U72+U77</f>
        <v>0</v>
      </c>
      <c r="V79" s="8">
        <f>T79+U79</f>
        <v>7500</v>
      </c>
      <c r="X79" s="8">
        <f>D79+H79+L79+P79+T79</f>
        <v>484221.88</v>
      </c>
      <c r="Y79" s="8">
        <f>E79+I79+M79+Q79+U79</f>
        <v>165778.12</v>
      </c>
      <c r="Z79" s="8">
        <f>F79+J79+N79+R79+V79</f>
        <v>650000</v>
      </c>
    </row>
    <row r="80" spans="1:26" x14ac:dyDescent="0.25">
      <c r="B80" s="2"/>
      <c r="C80" s="2"/>
    </row>
    <row r="82" spans="4:18" x14ac:dyDescent="0.25">
      <c r="D82" t="s">
        <v>72</v>
      </c>
    </row>
    <row r="83" spans="4:18" x14ac:dyDescent="0.25">
      <c r="D83" s="2"/>
    </row>
    <row r="84" spans="4:18" x14ac:dyDescent="0.25">
      <c r="D84" s="2" t="s">
        <v>58</v>
      </c>
      <c r="E84" t="s">
        <v>295</v>
      </c>
    </row>
    <row r="88" spans="4:18" x14ac:dyDescent="0.25">
      <c r="D88" t="s">
        <v>304</v>
      </c>
    </row>
    <row r="90" spans="4:18" x14ac:dyDescent="0.25">
      <c r="D90" s="36" t="s">
        <v>3</v>
      </c>
      <c r="E90" s="36"/>
      <c r="F90" s="36"/>
      <c r="H90" s="36" t="s">
        <v>4</v>
      </c>
      <c r="I90" s="36"/>
      <c r="J90" s="36"/>
      <c r="L90" s="36" t="s">
        <v>2</v>
      </c>
      <c r="M90" s="36"/>
      <c r="N90" s="36"/>
      <c r="P90" s="36" t="s">
        <v>13</v>
      </c>
      <c r="Q90" s="36"/>
      <c r="R90" s="36"/>
    </row>
    <row r="91" spans="4:18" x14ac:dyDescent="0.25">
      <c r="D91" s="6"/>
      <c r="E91" s="6"/>
      <c r="F91" s="6"/>
      <c r="H91" s="6"/>
      <c r="I91" s="6"/>
      <c r="J91" s="6"/>
    </row>
    <row r="92" spans="4:18" x14ac:dyDescent="0.25">
      <c r="E92" s="6" t="s">
        <v>110</v>
      </c>
      <c r="F92" s="6" t="s">
        <v>111</v>
      </c>
      <c r="I92" s="6" t="s">
        <v>110</v>
      </c>
      <c r="J92" s="6" t="s">
        <v>111</v>
      </c>
      <c r="M92" s="6" t="s">
        <v>110</v>
      </c>
      <c r="N92" s="6" t="s">
        <v>111</v>
      </c>
      <c r="Q92" s="6" t="s">
        <v>110</v>
      </c>
      <c r="R92" s="6" t="s">
        <v>111</v>
      </c>
    </row>
    <row r="93" spans="4:18" x14ac:dyDescent="0.25">
      <c r="E93" s="6"/>
      <c r="F93" s="6"/>
    </row>
    <row r="94" spans="4:18" x14ac:dyDescent="0.25">
      <c r="E94" s="2" t="s">
        <v>592</v>
      </c>
      <c r="F94" s="11">
        <v>0</v>
      </c>
      <c r="I94" s="2" t="s">
        <v>329</v>
      </c>
      <c r="J94" s="9">
        <f>17000-6525.52</f>
        <v>10474.48</v>
      </c>
      <c r="M94" s="2" t="s">
        <v>195</v>
      </c>
      <c r="N94" s="11">
        <v>0</v>
      </c>
      <c r="Q94" s="2" t="s">
        <v>138</v>
      </c>
      <c r="R94" s="9">
        <v>0</v>
      </c>
    </row>
    <row r="95" spans="4:18" x14ac:dyDescent="0.25">
      <c r="E95" s="2" t="s">
        <v>113</v>
      </c>
      <c r="F95" s="13">
        <f>SUM(F94:F94)</f>
        <v>0</v>
      </c>
      <c r="I95" s="2" t="s">
        <v>330</v>
      </c>
      <c r="J95" s="9">
        <v>6648.2</v>
      </c>
      <c r="M95" s="2" t="s">
        <v>113</v>
      </c>
      <c r="N95" s="13">
        <f>N94</f>
        <v>0</v>
      </c>
      <c r="Q95" s="2" t="s">
        <v>297</v>
      </c>
      <c r="R95" s="9">
        <v>109000</v>
      </c>
    </row>
    <row r="96" spans="4:18" x14ac:dyDescent="0.25">
      <c r="I96" s="2" t="s">
        <v>299</v>
      </c>
      <c r="J96" s="9">
        <v>46250.48</v>
      </c>
      <c r="Q96" s="2" t="s">
        <v>564</v>
      </c>
      <c r="R96" s="9">
        <v>48120</v>
      </c>
    </row>
    <row r="97" spans="4:18" x14ac:dyDescent="0.25">
      <c r="I97" s="2" t="s">
        <v>591</v>
      </c>
      <c r="J97" s="9">
        <f>65071-13225</f>
        <v>51846</v>
      </c>
      <c r="Q97" s="2" t="s">
        <v>113</v>
      </c>
      <c r="R97" s="13">
        <f>SUM(R94:R96)</f>
        <v>157120</v>
      </c>
    </row>
    <row r="98" spans="4:18" x14ac:dyDescent="0.25">
      <c r="I98" s="2" t="s">
        <v>113</v>
      </c>
      <c r="J98" s="13">
        <f>SUM(J94:J97)</f>
        <v>115219.16</v>
      </c>
    </row>
    <row r="99" spans="4:18" x14ac:dyDescent="0.25">
      <c r="D99" s="6" t="s">
        <v>118</v>
      </c>
      <c r="E99" s="1"/>
      <c r="R99" s="1"/>
    </row>
    <row r="100" spans="4:18" x14ac:dyDescent="0.25">
      <c r="D100" s="2" t="s">
        <v>58</v>
      </c>
      <c r="E100" t="s">
        <v>724</v>
      </c>
    </row>
    <row r="101" spans="4:18" x14ac:dyDescent="0.25">
      <c r="D101" s="2" t="s">
        <v>60</v>
      </c>
      <c r="E101" t="s">
        <v>308</v>
      </c>
    </row>
    <row r="102" spans="4:18" x14ac:dyDescent="0.25">
      <c r="D102" s="2" t="s">
        <v>109</v>
      </c>
      <c r="E102" t="s">
        <v>296</v>
      </c>
    </row>
  </sheetData>
  <sortState xmlns:xlrd2="http://schemas.microsoft.com/office/spreadsheetml/2017/richdata2" ref="A46:Z53">
    <sortCondition ref="C46:C53"/>
  </sortState>
  <mergeCells count="11">
    <mergeCell ref="A66:B66"/>
    <mergeCell ref="D90:F90"/>
    <mergeCell ref="H90:J90"/>
    <mergeCell ref="L90:N90"/>
    <mergeCell ref="P90:R90"/>
    <mergeCell ref="X4:Z4"/>
    <mergeCell ref="D4:F4"/>
    <mergeCell ref="H4:J4"/>
    <mergeCell ref="L4:N4"/>
    <mergeCell ref="P4:R4"/>
    <mergeCell ref="T4:V4"/>
  </mergeCells>
  <printOptions horizontalCentered="1"/>
  <pageMargins left="0.25" right="0.25" top="0.75" bottom="0.75" header="0.3" footer="0.3"/>
  <pageSetup paperSize="5" scale="62" fitToHeight="0" orientation="landscape" r:id="rId1"/>
  <headerFooter>
    <oddFooter>&amp;L&amp;F&amp;CPage &amp;P of &amp;N&amp;R6 August 2017</oddFooter>
  </headerFooter>
  <rowBreaks count="2" manualBreakCount="2">
    <brk id="45" min="3" max="25" man="1"/>
    <brk id="65"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B108"/>
  <sheetViews>
    <sheetView zoomScaleNormal="100" workbookViewId="0">
      <pane xSplit="2" ySplit="6" topLeftCell="C43" activePane="bottomRight" state="frozen"/>
      <selection activeCell="C9" sqref="C9"/>
      <selection pane="topRight" activeCell="C9" sqref="C9"/>
      <selection pane="bottomLeft" activeCell="C9" sqref="C9"/>
      <selection pane="bottomRight" activeCell="A74" sqref="A74"/>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8" x14ac:dyDescent="0.25">
      <c r="A1" s="6"/>
    </row>
    <row r="2" spans="1:28" x14ac:dyDescent="0.25">
      <c r="D2" t="s">
        <v>609</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254</v>
      </c>
      <c r="C7" s="2"/>
      <c r="D7" s="8">
        <f>ROUND('FY15'!D57,2)</f>
        <v>0</v>
      </c>
      <c r="E7" s="8">
        <f>ROUND('FY15'!E57,2)</f>
        <v>326140.21000000002</v>
      </c>
      <c r="F7" s="8">
        <f>D7+E7</f>
        <v>326140.21000000002</v>
      </c>
      <c r="H7" s="8">
        <f>ROUND('FY15'!H57,2)</f>
        <v>11353.6</v>
      </c>
      <c r="I7" s="8">
        <f>ROUND('FY15'!I57,2)</f>
        <v>225457.39</v>
      </c>
      <c r="J7" s="8">
        <f>H7+I7</f>
        <v>236810.99000000002</v>
      </c>
      <c r="L7" s="8">
        <f>ROUND('FY15'!L57,2)</f>
        <v>0</v>
      </c>
      <c r="M7" s="8">
        <f>ROUND('FY15'!M57,2)</f>
        <v>22043.32</v>
      </c>
      <c r="N7" s="8">
        <f>L7+M7</f>
        <v>22043.32</v>
      </c>
      <c r="P7" s="8">
        <f>ROUND('FY15'!P57,2)</f>
        <v>78829.67</v>
      </c>
      <c r="Q7" s="8">
        <f>ROUND('FY15'!Q57,2)</f>
        <v>445552.75</v>
      </c>
      <c r="R7" s="8">
        <f>P7+Q7</f>
        <v>524382.42000000004</v>
      </c>
      <c r="T7" s="8">
        <f>ROUND('FY15'!T57,2)</f>
        <v>0</v>
      </c>
      <c r="U7" s="8">
        <f>ROUND('FY15'!U57,2)</f>
        <v>0</v>
      </c>
      <c r="V7" s="8">
        <f>T7+U7</f>
        <v>0</v>
      </c>
      <c r="X7" s="8">
        <f>D7+H7+L7+P7+T7</f>
        <v>90183.27</v>
      </c>
      <c r="Y7" s="8">
        <f>E7+I7+M7+Q7+U7</f>
        <v>1019193.67</v>
      </c>
      <c r="Z7" s="8">
        <f>F7+J7+N7+R7+V7</f>
        <v>1109376.94</v>
      </c>
      <c r="AB7" s="1"/>
    </row>
    <row r="9" spans="1:28" x14ac:dyDescent="0.25">
      <c r="B9" s="5" t="s">
        <v>11</v>
      </c>
      <c r="C9" s="5"/>
      <c r="T9" s="1"/>
      <c r="U9" s="1"/>
      <c r="V9" s="1"/>
    </row>
    <row r="10" spans="1:28" x14ac:dyDescent="0.25">
      <c r="B10" s="2" t="s">
        <v>725</v>
      </c>
      <c r="C10" s="2"/>
      <c r="D10" s="9">
        <v>0</v>
      </c>
      <c r="E10" s="9">
        <f>ROUND(630945.62/10,2)</f>
        <v>63094.559999999998</v>
      </c>
      <c r="F10" s="8">
        <f>D10+E10</f>
        <v>63094.559999999998</v>
      </c>
      <c r="H10" s="9">
        <v>0</v>
      </c>
      <c r="I10" s="9">
        <f>ROUND(630945.62/10,2)</f>
        <v>63094.559999999998</v>
      </c>
      <c r="J10" s="8">
        <f>H10+I10</f>
        <v>63094.559999999998</v>
      </c>
      <c r="L10" s="9">
        <v>0</v>
      </c>
      <c r="M10" s="9">
        <f>ROUND(630945.62/10,2)</f>
        <v>63094.559999999998</v>
      </c>
      <c r="N10" s="8">
        <f>L10+M10</f>
        <v>63094.559999999998</v>
      </c>
      <c r="P10" s="9">
        <v>0</v>
      </c>
      <c r="Q10" s="9">
        <f>630945.62-E10-I10-M10</f>
        <v>441661.94000000006</v>
      </c>
      <c r="R10" s="8">
        <f>P10+Q10</f>
        <v>441661.94000000006</v>
      </c>
      <c r="T10" s="1"/>
      <c r="U10" s="1"/>
      <c r="V10" s="1"/>
      <c r="X10" s="8">
        <f t="shared" ref="X10:Z15" si="0">D10+H10+L10+P10+T10</f>
        <v>0</v>
      </c>
      <c r="Y10" s="8">
        <f t="shared" si="0"/>
        <v>630945.62000000011</v>
      </c>
      <c r="Z10" s="8">
        <f t="shared" si="0"/>
        <v>630945.62000000011</v>
      </c>
    </row>
    <row r="11" spans="1:28" x14ac:dyDescent="0.25">
      <c r="B11" s="2" t="s">
        <v>5</v>
      </c>
      <c r="C11" s="2"/>
      <c r="D11" s="9">
        <v>0</v>
      </c>
      <c r="E11" s="9">
        <f>ROUND(146.32/10,2)</f>
        <v>14.63</v>
      </c>
      <c r="F11" s="8">
        <f>D11+E11</f>
        <v>14.63</v>
      </c>
      <c r="H11" s="9">
        <v>0</v>
      </c>
      <c r="I11" s="9">
        <f>ROUND(146.32/10,2)</f>
        <v>14.63</v>
      </c>
      <c r="J11" s="8">
        <f>H11+I11</f>
        <v>14.63</v>
      </c>
      <c r="L11" s="9">
        <v>0</v>
      </c>
      <c r="M11" s="9">
        <f>ROUND(146.32/10,2)</f>
        <v>14.63</v>
      </c>
      <c r="N11" s="8">
        <f>L11+M11</f>
        <v>14.63</v>
      </c>
      <c r="P11" s="9">
        <v>0</v>
      </c>
      <c r="Q11" s="9">
        <f>146.32-E11-I11-M11</f>
        <v>102.43</v>
      </c>
      <c r="R11" s="8">
        <f>P11+Q11</f>
        <v>102.43</v>
      </c>
      <c r="T11" s="1"/>
      <c r="U11" s="1"/>
      <c r="V11" s="1"/>
      <c r="X11" s="8">
        <f t="shared" si="0"/>
        <v>0</v>
      </c>
      <c r="Y11" s="8">
        <f t="shared" si="0"/>
        <v>146.32</v>
      </c>
      <c r="Z11" s="8">
        <f t="shared" si="0"/>
        <v>146.32</v>
      </c>
    </row>
    <row r="12" spans="1:28" x14ac:dyDescent="0.25">
      <c r="B12" s="2" t="s">
        <v>255</v>
      </c>
      <c r="C12" s="2"/>
      <c r="D12" s="9">
        <v>0</v>
      </c>
      <c r="E12" s="9">
        <f>ROUND(253946/10,2)</f>
        <v>25394.6</v>
      </c>
      <c r="F12" s="8">
        <f>D12+E12</f>
        <v>25394.6</v>
      </c>
      <c r="H12" s="9">
        <v>0</v>
      </c>
      <c r="I12" s="9">
        <f>ROUND(253946/10,2)</f>
        <v>25394.6</v>
      </c>
      <c r="J12" s="8">
        <f>H12+I12</f>
        <v>25394.6</v>
      </c>
      <c r="L12" s="9">
        <v>0</v>
      </c>
      <c r="M12" s="9">
        <f>ROUND(253946/10,2)</f>
        <v>25394.6</v>
      </c>
      <c r="N12" s="8">
        <f>L12+M12</f>
        <v>25394.6</v>
      </c>
      <c r="P12" s="9">
        <v>0</v>
      </c>
      <c r="Q12" s="9">
        <f>253946-E12-I12-M12</f>
        <v>177762.19999999998</v>
      </c>
      <c r="R12" s="8">
        <f>P12+Q12</f>
        <v>177762.19999999998</v>
      </c>
      <c r="T12" s="1"/>
      <c r="U12" s="1"/>
      <c r="V12" s="1"/>
      <c r="X12" s="8">
        <f t="shared" si="0"/>
        <v>0</v>
      </c>
      <c r="Y12" s="8">
        <f t="shared" si="0"/>
        <v>253945.99999999997</v>
      </c>
      <c r="Z12" s="8">
        <f t="shared" si="0"/>
        <v>253945.99999999997</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256</v>
      </c>
      <c r="C14" s="2"/>
      <c r="D14" s="9">
        <v>0</v>
      </c>
      <c r="E14" s="9">
        <f>ROUND(4361.64/10,2)</f>
        <v>436.16</v>
      </c>
      <c r="F14" s="15">
        <f>D14+E14</f>
        <v>436.16</v>
      </c>
      <c r="H14" s="14">
        <v>0</v>
      </c>
      <c r="I14" s="9">
        <f>ROUND(4361.64/10,2)</f>
        <v>436.16</v>
      </c>
      <c r="J14" s="15">
        <f>H14+I14</f>
        <v>436.16</v>
      </c>
      <c r="L14" s="14">
        <v>0</v>
      </c>
      <c r="M14" s="9">
        <f>ROUND(4361.64/10,2)</f>
        <v>436.16</v>
      </c>
      <c r="N14" s="15">
        <f>L14+M14</f>
        <v>436.16</v>
      </c>
      <c r="P14" s="14">
        <v>0</v>
      </c>
      <c r="Q14" s="14">
        <f>4361.64-E14-I14-M14</f>
        <v>3053.1600000000008</v>
      </c>
      <c r="R14" s="15">
        <f>P14+Q14</f>
        <v>3053.1600000000008</v>
      </c>
      <c r="T14" s="1"/>
      <c r="U14" s="1"/>
      <c r="V14" s="1"/>
      <c r="X14" s="15">
        <f t="shared" si="0"/>
        <v>0</v>
      </c>
      <c r="Y14" s="15">
        <f t="shared" si="0"/>
        <v>4361.6400000000012</v>
      </c>
      <c r="Z14" s="15">
        <f t="shared" si="0"/>
        <v>4361.6400000000012</v>
      </c>
    </row>
    <row r="15" spans="1:28" x14ac:dyDescent="0.25">
      <c r="B15" s="2" t="s">
        <v>28</v>
      </c>
      <c r="C15" s="2"/>
      <c r="D15" s="26">
        <f>SUM(D10:D14)</f>
        <v>0</v>
      </c>
      <c r="E15" s="26">
        <f>SUM(E10:E14)</f>
        <v>88939.95</v>
      </c>
      <c r="F15" s="26">
        <f>D15+E15</f>
        <v>88939.95</v>
      </c>
      <c r="H15" s="26">
        <f>SUM(H10:H14)</f>
        <v>0</v>
      </c>
      <c r="I15" s="26">
        <f>SUM(I10:I14)</f>
        <v>88939.95</v>
      </c>
      <c r="J15" s="26">
        <f>H15+I15</f>
        <v>88939.95</v>
      </c>
      <c r="L15" s="26">
        <f>SUM(L10:L14)</f>
        <v>0</v>
      </c>
      <c r="M15" s="26">
        <f>SUM(M10:M14)</f>
        <v>88939.95</v>
      </c>
      <c r="N15" s="26">
        <f>L15+M15</f>
        <v>88939.95</v>
      </c>
      <c r="P15" s="26">
        <f>SUM(P10:P14)</f>
        <v>0</v>
      </c>
      <c r="Q15" s="26">
        <f>SUM(Q10:Q14)</f>
        <v>622579.7300000001</v>
      </c>
      <c r="R15" s="26">
        <f>P15+Q15</f>
        <v>622579.7300000001</v>
      </c>
      <c r="S15" s="1"/>
      <c r="T15" s="26">
        <f>SUM(T10:T14)</f>
        <v>0</v>
      </c>
      <c r="U15" s="26">
        <f>SUM(U10:U14)</f>
        <v>0</v>
      </c>
      <c r="V15" s="26">
        <f>T15+U15</f>
        <v>0</v>
      </c>
      <c r="X15" s="26">
        <f t="shared" si="0"/>
        <v>0</v>
      </c>
      <c r="Y15" s="26">
        <f t="shared" si="0"/>
        <v>889399.58000000007</v>
      </c>
      <c r="Z15" s="26">
        <f t="shared" si="0"/>
        <v>889399.58000000007</v>
      </c>
    </row>
    <row r="17" spans="2:26" x14ac:dyDescent="0.25">
      <c r="B17" s="5" t="s">
        <v>257</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179</v>
      </c>
      <c r="C19" s="2"/>
      <c r="H19" s="1"/>
      <c r="I19" s="1"/>
      <c r="J19" s="1"/>
      <c r="L19" s="1"/>
      <c r="M19" s="1"/>
      <c r="P19" s="8">
        <v>0</v>
      </c>
      <c r="Q19" s="8">
        <f>-T19</f>
        <v>-7500</v>
      </c>
      <c r="R19" s="8">
        <f>P19+Q19</f>
        <v>-7500</v>
      </c>
      <c r="T19" s="9">
        <f>2500+5000</f>
        <v>7500</v>
      </c>
      <c r="U19" s="9">
        <v>0</v>
      </c>
      <c r="V19" s="8">
        <f>T19+U19</f>
        <v>7500</v>
      </c>
      <c r="X19" s="8">
        <f t="shared" si="8"/>
        <v>7500</v>
      </c>
      <c r="Y19" s="8">
        <f t="shared" si="8"/>
        <v>-7500</v>
      </c>
      <c r="Z19" s="8">
        <f t="shared" si="8"/>
        <v>0</v>
      </c>
    </row>
    <row r="20" spans="2:26" x14ac:dyDescent="0.25">
      <c r="B20" s="2" t="s">
        <v>240</v>
      </c>
      <c r="C20" s="6" t="s">
        <v>17</v>
      </c>
      <c r="L20" s="9">
        <v>80000</v>
      </c>
      <c r="M20" s="8">
        <f>-L20</f>
        <v>-80000</v>
      </c>
      <c r="N20" s="8">
        <f>L20+M20</f>
        <v>0</v>
      </c>
      <c r="P20" s="9">
        <f>482850-L20</f>
        <v>402850</v>
      </c>
      <c r="Q20" s="8">
        <f>-P20</f>
        <v>-402850</v>
      </c>
      <c r="R20" s="8">
        <f>P20+Q20</f>
        <v>0</v>
      </c>
      <c r="X20" s="8">
        <f t="shared" ref="X20:Z27" si="9">D20+H20+L20+P20+T20</f>
        <v>482850</v>
      </c>
      <c r="Y20" s="8">
        <f t="shared" si="9"/>
        <v>-482850</v>
      </c>
      <c r="Z20" s="8">
        <f t="shared" si="9"/>
        <v>0</v>
      </c>
    </row>
    <row r="21" spans="2:26" x14ac:dyDescent="0.25">
      <c r="B21" s="2" t="s">
        <v>298</v>
      </c>
      <c r="C21" s="6" t="s">
        <v>356</v>
      </c>
      <c r="H21" s="1"/>
      <c r="I21" s="1"/>
      <c r="J21" s="1"/>
      <c r="L21" s="1"/>
      <c r="M21" s="1"/>
      <c r="P21" s="9">
        <v>24932</v>
      </c>
      <c r="Q21" s="18">
        <f>-P21</f>
        <v>-24932</v>
      </c>
      <c r="R21" s="8">
        <f>P21+Q21</f>
        <v>0</v>
      </c>
      <c r="X21" s="8">
        <f t="shared" si="9"/>
        <v>24932</v>
      </c>
      <c r="Y21" s="8">
        <f t="shared" si="9"/>
        <v>-24932</v>
      </c>
      <c r="Z21" s="8">
        <f t="shared" si="9"/>
        <v>0</v>
      </c>
    </row>
    <row r="22" spans="2:26" x14ac:dyDescent="0.25">
      <c r="B22" s="2" t="s">
        <v>594</v>
      </c>
      <c r="C22" s="6" t="s">
        <v>362</v>
      </c>
      <c r="H22" s="1"/>
      <c r="I22" s="1"/>
      <c r="J22" s="1"/>
      <c r="L22" s="1"/>
      <c r="M22" s="1"/>
      <c r="P22" s="9">
        <v>200000</v>
      </c>
      <c r="Q22" s="8">
        <f>-P22</f>
        <v>-200000</v>
      </c>
      <c r="R22" s="8">
        <f>P22+Q22</f>
        <v>0</v>
      </c>
      <c r="X22" s="8">
        <f t="shared" si="9"/>
        <v>200000</v>
      </c>
      <c r="Y22" s="8">
        <f t="shared" si="9"/>
        <v>-200000</v>
      </c>
      <c r="Z22" s="8">
        <f t="shared" si="9"/>
        <v>0</v>
      </c>
    </row>
    <row r="23" spans="2:26" x14ac:dyDescent="0.25">
      <c r="B23" s="2" t="s">
        <v>299</v>
      </c>
      <c r="C23" s="6" t="s">
        <v>361</v>
      </c>
      <c r="H23" s="8">
        <v>203333</v>
      </c>
      <c r="I23" s="8">
        <f>-H23</f>
        <v>-203333</v>
      </c>
      <c r="J23" s="8">
        <f>H23+I23</f>
        <v>0</v>
      </c>
      <c r="L23" s="1"/>
      <c r="M23" s="1"/>
      <c r="X23" s="8">
        <f t="shared" si="9"/>
        <v>203333</v>
      </c>
      <c r="Y23" s="8">
        <f t="shared" si="9"/>
        <v>-203333</v>
      </c>
      <c r="Z23" s="8">
        <f t="shared" si="9"/>
        <v>0</v>
      </c>
    </row>
    <row r="24" spans="2:26" x14ac:dyDescent="0.25">
      <c r="B24" s="2" t="s">
        <v>297</v>
      </c>
      <c r="C24" s="6" t="s">
        <v>352</v>
      </c>
      <c r="H24" s="1"/>
      <c r="I24" s="1"/>
      <c r="J24" s="1"/>
      <c r="L24" s="1"/>
      <c r="M24" s="1"/>
      <c r="P24" s="9">
        <v>109000</v>
      </c>
      <c r="Q24" s="8">
        <f>-P24</f>
        <v>-109000</v>
      </c>
      <c r="R24" s="8">
        <f>P24+Q24</f>
        <v>0</v>
      </c>
      <c r="X24" s="8">
        <f t="shared" si="9"/>
        <v>109000</v>
      </c>
      <c r="Y24" s="8">
        <f t="shared" si="9"/>
        <v>-109000</v>
      </c>
      <c r="Z24" s="8">
        <f t="shared" si="9"/>
        <v>0</v>
      </c>
    </row>
    <row r="25" spans="2:26" x14ac:dyDescent="0.25">
      <c r="B25" s="2" t="s">
        <v>302</v>
      </c>
      <c r="C25" s="6" t="s">
        <v>360</v>
      </c>
      <c r="H25" s="1"/>
      <c r="I25" s="1"/>
      <c r="J25" s="1"/>
      <c r="L25" s="1"/>
      <c r="M25" s="1"/>
      <c r="P25" s="9">
        <v>6000</v>
      </c>
      <c r="Q25" s="8">
        <f>-P25</f>
        <v>-6000</v>
      </c>
      <c r="R25" s="8">
        <f>P25+Q25</f>
        <v>0</v>
      </c>
      <c r="X25" s="8">
        <f t="shared" si="9"/>
        <v>6000</v>
      </c>
      <c r="Y25" s="8">
        <f t="shared" si="9"/>
        <v>-6000</v>
      </c>
      <c r="Z25" s="8">
        <f t="shared" si="9"/>
        <v>0</v>
      </c>
    </row>
    <row r="26" spans="2:26" x14ac:dyDescent="0.25">
      <c r="B26" s="2" t="s">
        <v>593</v>
      </c>
      <c r="C26" s="6" t="s">
        <v>359</v>
      </c>
      <c r="D26" s="8">
        <v>49509</v>
      </c>
      <c r="E26" s="8">
        <f>-D26</f>
        <v>-49509</v>
      </c>
      <c r="F26" s="8">
        <f>D26+E26</f>
        <v>0</v>
      </c>
      <c r="L26" s="1"/>
      <c r="M26" s="1"/>
      <c r="X26" s="8">
        <f t="shared" si="9"/>
        <v>49509</v>
      </c>
      <c r="Y26" s="8">
        <f t="shared" si="9"/>
        <v>-49509</v>
      </c>
      <c r="Z26" s="8">
        <f t="shared" si="9"/>
        <v>0</v>
      </c>
    </row>
    <row r="27" spans="2:26" ht="15.75" thickBot="1" x14ac:dyDescent="0.3">
      <c r="B27" s="2" t="s">
        <v>330</v>
      </c>
      <c r="C27" s="6" t="s">
        <v>355</v>
      </c>
      <c r="H27" s="8">
        <v>17000</v>
      </c>
      <c r="I27" s="8">
        <f>-H27</f>
        <v>-17000</v>
      </c>
      <c r="J27" s="8">
        <f>H27+I27</f>
        <v>0</v>
      </c>
      <c r="X27" s="8">
        <f t="shared" si="9"/>
        <v>17000</v>
      </c>
      <c r="Y27" s="8">
        <f t="shared" si="9"/>
        <v>-17000</v>
      </c>
      <c r="Z27" s="8">
        <f t="shared" si="9"/>
        <v>0</v>
      </c>
    </row>
    <row r="28" spans="2:26" x14ac:dyDescent="0.25">
      <c r="B28" s="2" t="s">
        <v>258</v>
      </c>
      <c r="C28" s="2"/>
      <c r="D28" s="26">
        <f>SUM(D18:D27)</f>
        <v>49509</v>
      </c>
      <c r="E28" s="26">
        <f>SUM(E18:E27)</f>
        <v>-49509</v>
      </c>
      <c r="F28" s="26">
        <f>D28+E28</f>
        <v>0</v>
      </c>
      <c r="H28" s="26">
        <f>SUM(H18:H27)</f>
        <v>220333</v>
      </c>
      <c r="I28" s="26">
        <f>SUM(I18:I27)</f>
        <v>-220333</v>
      </c>
      <c r="J28" s="26">
        <f>H28+I28</f>
        <v>0</v>
      </c>
      <c r="L28" s="26">
        <f>SUM(L18:L27)</f>
        <v>80000</v>
      </c>
      <c r="M28" s="26">
        <f>SUM(M18:M27)</f>
        <v>-80000</v>
      </c>
      <c r="N28" s="26">
        <f>L28+M28</f>
        <v>0</v>
      </c>
      <c r="P28" s="26">
        <f>SUM(P18:P27)</f>
        <v>742782</v>
      </c>
      <c r="Q28" s="26">
        <f>SUM(Q18:Q27)</f>
        <v>-750282</v>
      </c>
      <c r="R28" s="26">
        <f>P28+Q28</f>
        <v>-7500</v>
      </c>
      <c r="S28" s="1"/>
      <c r="T28" s="26">
        <f>SUM(T18:T27)</f>
        <v>7500</v>
      </c>
      <c r="U28" s="26">
        <f>SUM(U18:U27)</f>
        <v>0</v>
      </c>
      <c r="V28" s="26">
        <f>T28+U28</f>
        <v>7500</v>
      </c>
      <c r="X28" s="26">
        <f>D28+H28+L28+P28+T28</f>
        <v>1100124</v>
      </c>
      <c r="Y28" s="26">
        <f>E28+I28+M28+Q28+U28</f>
        <v>-1100124</v>
      </c>
      <c r="Z28" s="26">
        <f>F28+J28+N28+R28+V28</f>
        <v>0</v>
      </c>
    </row>
    <row r="29" spans="2:26" x14ac:dyDescent="0.25">
      <c r="H29" s="1"/>
      <c r="I29" s="1"/>
      <c r="J29" s="1"/>
      <c r="L29" s="1"/>
      <c r="M29" s="1"/>
      <c r="N29" s="1"/>
      <c r="P29" s="1"/>
      <c r="Q29" s="1"/>
      <c r="R29" s="1"/>
    </row>
    <row r="30" spans="2:26" x14ac:dyDescent="0.25">
      <c r="B30" s="5" t="s">
        <v>8</v>
      </c>
      <c r="C30" s="5"/>
      <c r="H30" s="1"/>
      <c r="I30" s="1"/>
      <c r="J30" s="1"/>
      <c r="L30" s="1"/>
      <c r="M30" s="1"/>
      <c r="N30" s="1"/>
      <c r="P30" s="1"/>
      <c r="Q30" s="1"/>
    </row>
    <row r="31" spans="2:26" x14ac:dyDescent="0.25">
      <c r="B31" s="2" t="s">
        <v>7</v>
      </c>
      <c r="C31" s="2"/>
      <c r="D31" s="1"/>
      <c r="E31" s="1"/>
      <c r="F31" s="1"/>
      <c r="H31" s="1"/>
      <c r="I31" s="1"/>
      <c r="J31" s="1"/>
      <c r="T31" s="9">
        <v>0</v>
      </c>
      <c r="U31" s="9">
        <v>0</v>
      </c>
      <c r="V31" s="8">
        <f>T31+U31</f>
        <v>0</v>
      </c>
      <c r="X31" s="8">
        <f>D31+H31+L31+P31+T31</f>
        <v>0</v>
      </c>
      <c r="Y31" s="8">
        <f>E31+I31+M31+Q31+U31</f>
        <v>0</v>
      </c>
      <c r="Z31" s="8">
        <f>X31+Y31</f>
        <v>0</v>
      </c>
    </row>
    <row r="32" spans="2:26" x14ac:dyDescent="0.25">
      <c r="B32" s="2" t="s">
        <v>52</v>
      </c>
      <c r="C32" s="2"/>
      <c r="D32" s="1"/>
      <c r="E32" s="1"/>
      <c r="F32" s="1"/>
      <c r="H32" s="1"/>
      <c r="I32" s="1"/>
      <c r="J32" s="1"/>
      <c r="L32" s="1"/>
      <c r="M32" s="1"/>
      <c r="N32" s="1"/>
      <c r="P32" s="1"/>
      <c r="Q32" s="1"/>
      <c r="R32" s="1"/>
      <c r="T32" s="9">
        <f>-7500 + 4535.01</f>
        <v>-2964.99</v>
      </c>
      <c r="U32" s="9">
        <v>0</v>
      </c>
      <c r="V32" s="8">
        <f>T32+U32</f>
        <v>-2964.99</v>
      </c>
      <c r="X32" s="8">
        <f>D32+H32+L32+P32+T32</f>
        <v>-2964.99</v>
      </c>
      <c r="Y32" s="8">
        <f>E32+I32+M32+Q32+U32</f>
        <v>0</v>
      </c>
      <c r="Z32" s="8">
        <f>X32+Y32</f>
        <v>-2964.99</v>
      </c>
    </row>
    <row r="33" spans="2:26" x14ac:dyDescent="0.25">
      <c r="B33" s="2" t="s">
        <v>240</v>
      </c>
      <c r="C33" s="6" t="s">
        <v>17</v>
      </c>
      <c r="D33" s="1"/>
      <c r="E33" s="1"/>
      <c r="F33" s="1"/>
      <c r="H33" s="1"/>
      <c r="I33" s="1"/>
      <c r="J33" s="1"/>
      <c r="L33" s="9">
        <v>-80000</v>
      </c>
      <c r="M33" s="9">
        <v>0</v>
      </c>
      <c r="N33" s="8">
        <f>L33+M33</f>
        <v>-80000</v>
      </c>
      <c r="P33" s="9">
        <f>-482850-L33</f>
        <v>-402850</v>
      </c>
      <c r="Q33" s="9">
        <v>0</v>
      </c>
      <c r="R33" s="8">
        <f>P33+Q33</f>
        <v>-402850</v>
      </c>
      <c r="X33" s="8">
        <f t="shared" ref="X33:X43" si="10">D33+H33+L33+P33+T33</f>
        <v>-482850</v>
      </c>
      <c r="Y33" s="8">
        <f t="shared" ref="Y33:Y43" si="11">E33+I33+M33+Q33+U33</f>
        <v>0</v>
      </c>
      <c r="Z33" s="8">
        <f t="shared" ref="Z33:Z44" si="12">X33+Y33</f>
        <v>-482850</v>
      </c>
    </row>
    <row r="34" spans="2:26" x14ac:dyDescent="0.25">
      <c r="B34" s="2" t="s">
        <v>329</v>
      </c>
      <c r="C34" s="6" t="s">
        <v>358</v>
      </c>
      <c r="D34" s="1"/>
      <c r="E34" s="1"/>
      <c r="F34" s="1"/>
      <c r="H34" s="9">
        <v>-879.12</v>
      </c>
      <c r="I34" s="9">
        <v>0</v>
      </c>
      <c r="J34" s="8">
        <f>H34+I34</f>
        <v>-879.12</v>
      </c>
      <c r="L34" s="1"/>
      <c r="M34" s="1"/>
      <c r="N34" s="1"/>
      <c r="X34" s="8">
        <f t="shared" si="10"/>
        <v>-879.12</v>
      </c>
      <c r="Y34" s="8">
        <f t="shared" si="11"/>
        <v>0</v>
      </c>
      <c r="Z34" s="8">
        <f t="shared" si="12"/>
        <v>-879.12</v>
      </c>
    </row>
    <row r="35" spans="2:26" x14ac:dyDescent="0.25">
      <c r="B35" s="2" t="s">
        <v>300</v>
      </c>
      <c r="C35" s="6" t="s">
        <v>364</v>
      </c>
      <c r="D35" s="1"/>
      <c r="E35" s="1"/>
      <c r="F35" s="1"/>
      <c r="L35" s="1"/>
      <c r="M35" s="1"/>
      <c r="N35" s="1"/>
      <c r="P35" s="9">
        <f>-16436.17+768.17</f>
        <v>-15667.999999999998</v>
      </c>
      <c r="Q35" s="9">
        <v>0</v>
      </c>
      <c r="R35" s="8">
        <f>P35+Q35</f>
        <v>-15667.999999999998</v>
      </c>
      <c r="X35" s="8">
        <f t="shared" ref="X35" si="13">D35+H35+L35+P35+T35</f>
        <v>-15667.999999999998</v>
      </c>
      <c r="Y35" s="8">
        <f t="shared" ref="Y35" si="14">E35+I35+M35+Q35+U35</f>
        <v>0</v>
      </c>
      <c r="Z35" s="8">
        <f t="shared" ref="Z35" si="15">X35+Y35</f>
        <v>-15667.999999999998</v>
      </c>
    </row>
    <row r="36" spans="2:26" x14ac:dyDescent="0.25">
      <c r="B36" s="2" t="s">
        <v>275</v>
      </c>
      <c r="C36" s="6" t="s">
        <v>375</v>
      </c>
      <c r="D36" s="1"/>
      <c r="E36" s="1"/>
      <c r="F36" s="1"/>
      <c r="L36" s="1"/>
      <c r="M36" s="1"/>
      <c r="P36" s="9">
        <v>-14273.5</v>
      </c>
      <c r="Q36" s="9">
        <v>0</v>
      </c>
      <c r="R36" s="8">
        <f>P36+Q36</f>
        <v>-14273.5</v>
      </c>
      <c r="X36" s="8">
        <f t="shared" si="10"/>
        <v>-14273.5</v>
      </c>
      <c r="Y36" s="8">
        <f t="shared" si="11"/>
        <v>0</v>
      </c>
      <c r="Z36" s="8">
        <f t="shared" si="12"/>
        <v>-14273.5</v>
      </c>
    </row>
    <row r="37" spans="2:26" x14ac:dyDescent="0.25">
      <c r="B37" s="2" t="s">
        <v>298</v>
      </c>
      <c r="C37" s="6" t="s">
        <v>356</v>
      </c>
      <c r="D37" s="1"/>
      <c r="E37" s="1"/>
      <c r="F37" s="1"/>
      <c r="L37" s="1"/>
      <c r="M37" s="1"/>
      <c r="N37" s="1"/>
      <c r="P37" s="9">
        <f>-24932+23224</f>
        <v>-1708</v>
      </c>
      <c r="Q37" s="9">
        <v>0</v>
      </c>
      <c r="R37" s="8">
        <f>P37+Q37</f>
        <v>-1708</v>
      </c>
      <c r="X37" s="8">
        <f t="shared" si="10"/>
        <v>-1708</v>
      </c>
      <c r="Y37" s="8">
        <f t="shared" si="11"/>
        <v>0</v>
      </c>
      <c r="Z37" s="8">
        <f t="shared" si="12"/>
        <v>-1708</v>
      </c>
    </row>
    <row r="38" spans="2:26" x14ac:dyDescent="0.25">
      <c r="B38" s="2" t="s">
        <v>594</v>
      </c>
      <c r="C38" s="6" t="s">
        <v>362</v>
      </c>
      <c r="D38" s="1"/>
      <c r="E38" s="1"/>
      <c r="F38" s="1"/>
      <c r="L38" s="1"/>
      <c r="M38" s="1"/>
      <c r="N38" s="1"/>
      <c r="P38" s="9">
        <v>-200000</v>
      </c>
      <c r="Q38" s="9">
        <v>0</v>
      </c>
      <c r="R38" s="8">
        <f>P38+Q38</f>
        <v>-200000</v>
      </c>
      <c r="X38" s="8">
        <f t="shared" si="10"/>
        <v>-200000</v>
      </c>
      <c r="Y38" s="8">
        <f t="shared" si="11"/>
        <v>0</v>
      </c>
      <c r="Z38" s="8">
        <f t="shared" si="12"/>
        <v>-200000</v>
      </c>
    </row>
    <row r="39" spans="2:26" x14ac:dyDescent="0.25">
      <c r="B39" s="2" t="s">
        <v>299</v>
      </c>
      <c r="C39" s="6" t="s">
        <v>361</v>
      </c>
      <c r="D39" s="1"/>
      <c r="E39" s="1"/>
      <c r="F39" s="1"/>
      <c r="H39" s="9">
        <f>-203333*0 - 157082.52</f>
        <v>-157082.51999999999</v>
      </c>
      <c r="I39" s="9">
        <v>0</v>
      </c>
      <c r="J39" s="8">
        <f>H39+I39</f>
        <v>-157082.51999999999</v>
      </c>
      <c r="X39" s="8">
        <f t="shared" si="10"/>
        <v>-157082.51999999999</v>
      </c>
      <c r="Y39" s="8">
        <f t="shared" si="11"/>
        <v>0</v>
      </c>
      <c r="Z39" s="8">
        <f t="shared" si="12"/>
        <v>-157082.51999999999</v>
      </c>
    </row>
    <row r="40" spans="2:26" x14ac:dyDescent="0.25">
      <c r="B40" s="2" t="s">
        <v>297</v>
      </c>
      <c r="C40" s="6" t="s">
        <v>352</v>
      </c>
      <c r="D40" s="1"/>
      <c r="E40" s="1"/>
      <c r="F40" s="1"/>
      <c r="L40" s="1"/>
      <c r="M40" s="1"/>
      <c r="N40" s="1"/>
      <c r="P40" s="9">
        <v>0</v>
      </c>
      <c r="Q40" s="9">
        <v>0</v>
      </c>
      <c r="R40" s="8">
        <f>P40+Q40</f>
        <v>0</v>
      </c>
      <c r="X40" s="8">
        <f t="shared" si="10"/>
        <v>0</v>
      </c>
      <c r="Y40" s="8">
        <f t="shared" si="11"/>
        <v>0</v>
      </c>
      <c r="Z40" s="8">
        <f t="shared" si="12"/>
        <v>0</v>
      </c>
    </row>
    <row r="41" spans="2:26" x14ac:dyDescent="0.25">
      <c r="B41" s="2" t="s">
        <v>302</v>
      </c>
      <c r="C41" s="6" t="s">
        <v>360</v>
      </c>
      <c r="D41" s="1"/>
      <c r="E41" s="1"/>
      <c r="F41" s="1"/>
      <c r="L41" s="1"/>
      <c r="M41" s="1"/>
      <c r="N41" s="1"/>
      <c r="P41" s="9">
        <f>-6000+150</f>
        <v>-5850</v>
      </c>
      <c r="Q41" s="9">
        <v>0</v>
      </c>
      <c r="R41" s="8">
        <f>P41+Q41</f>
        <v>-5850</v>
      </c>
      <c r="X41" s="8">
        <f t="shared" si="10"/>
        <v>-5850</v>
      </c>
      <c r="Y41" s="8">
        <f t="shared" si="11"/>
        <v>0</v>
      </c>
      <c r="Z41" s="8">
        <f t="shared" si="12"/>
        <v>-5850</v>
      </c>
    </row>
    <row r="42" spans="2:26" x14ac:dyDescent="0.25">
      <c r="B42" s="2" t="s">
        <v>593</v>
      </c>
      <c r="C42" s="6" t="s">
        <v>359</v>
      </c>
      <c r="D42" s="9">
        <v>-37021.360000000001</v>
      </c>
      <c r="E42" s="9">
        <v>0</v>
      </c>
      <c r="F42" s="8">
        <f>D42+E42</f>
        <v>-37021.360000000001</v>
      </c>
      <c r="H42" s="1"/>
      <c r="I42" s="1"/>
      <c r="J42" s="1"/>
      <c r="L42" s="1"/>
      <c r="M42" s="1"/>
      <c r="N42" s="1"/>
      <c r="P42" s="1"/>
      <c r="Q42" s="1"/>
      <c r="R42" s="1"/>
      <c r="X42" s="8">
        <f t="shared" si="10"/>
        <v>-37021.360000000001</v>
      </c>
      <c r="Y42" s="8">
        <f t="shared" si="11"/>
        <v>0</v>
      </c>
      <c r="Z42" s="8">
        <f t="shared" si="12"/>
        <v>-37021.360000000001</v>
      </c>
    </row>
    <row r="43" spans="2:26" ht="15.75" thickBot="1" x14ac:dyDescent="0.3">
      <c r="B43" s="2" t="s">
        <v>330</v>
      </c>
      <c r="C43" s="6" t="s">
        <v>355</v>
      </c>
      <c r="D43" s="1"/>
      <c r="E43" s="1"/>
      <c r="F43" s="1"/>
      <c r="H43" s="9">
        <v>-10351.799999999999</v>
      </c>
      <c r="I43" s="9">
        <v>0</v>
      </c>
      <c r="J43" s="8">
        <f>H43+I43</f>
        <v>-10351.799999999999</v>
      </c>
      <c r="X43" s="15">
        <f t="shared" si="10"/>
        <v>-10351.799999999999</v>
      </c>
      <c r="Y43" s="15">
        <f t="shared" si="11"/>
        <v>0</v>
      </c>
      <c r="Z43" s="15">
        <f t="shared" si="12"/>
        <v>-10351.799999999999</v>
      </c>
    </row>
    <row r="44" spans="2:26" x14ac:dyDescent="0.25">
      <c r="B44" s="2" t="s">
        <v>31</v>
      </c>
      <c r="C44" s="2"/>
      <c r="D44" s="26">
        <f>SUM(D31:D43)</f>
        <v>-37021.360000000001</v>
      </c>
      <c r="E44" s="26">
        <f>SUM(E31:E43)</f>
        <v>0</v>
      </c>
      <c r="F44" s="26">
        <f>D44+E44</f>
        <v>-37021.360000000001</v>
      </c>
      <c r="H44" s="26">
        <f>SUM(H31:H43)</f>
        <v>-168313.43999999997</v>
      </c>
      <c r="I44" s="26">
        <f>SUM(I31:I43)</f>
        <v>0</v>
      </c>
      <c r="J44" s="26">
        <f>H44+I44</f>
        <v>-168313.43999999997</v>
      </c>
      <c r="L44" s="26">
        <f>SUM(L31:L43)</f>
        <v>-80000</v>
      </c>
      <c r="M44" s="26">
        <f>SUM(M31:M43)</f>
        <v>0</v>
      </c>
      <c r="N44" s="26">
        <f>L44+M44</f>
        <v>-80000</v>
      </c>
      <c r="P44" s="26">
        <f>SUM(P31:P43)</f>
        <v>-640349.5</v>
      </c>
      <c r="Q44" s="26">
        <f>SUM(Q31:Q43)</f>
        <v>0</v>
      </c>
      <c r="R44" s="26">
        <f>P44+Q44</f>
        <v>-640349.5</v>
      </c>
      <c r="S44" s="1"/>
      <c r="T44" s="26">
        <f>SUM(T31:T43)</f>
        <v>-2964.99</v>
      </c>
      <c r="U44" s="26">
        <f>SUM(U31:U43)</f>
        <v>0</v>
      </c>
      <c r="V44" s="26">
        <f>T44+U44</f>
        <v>-2964.99</v>
      </c>
      <c r="X44" s="26">
        <f>SUM(X31:X43)</f>
        <v>-928649.29</v>
      </c>
      <c r="Y44" s="26">
        <f>SUM(Y31:Y43)</f>
        <v>0</v>
      </c>
      <c r="Z44" s="26">
        <f t="shared" si="12"/>
        <v>-928649.29</v>
      </c>
    </row>
    <row r="45" spans="2:26" x14ac:dyDescent="0.25">
      <c r="D45" s="1"/>
      <c r="E45" s="1"/>
      <c r="F45" s="1"/>
      <c r="H45" s="1"/>
      <c r="I45" s="1"/>
      <c r="J45" s="1"/>
      <c r="L45" s="1"/>
      <c r="M45" s="1"/>
      <c r="N45" s="1"/>
      <c r="U45" s="1"/>
      <c r="V45" s="1"/>
      <c r="X45" s="1"/>
    </row>
    <row r="46" spans="2:26" x14ac:dyDescent="0.25">
      <c r="B46" s="5" t="s">
        <v>10</v>
      </c>
      <c r="C46" s="5"/>
      <c r="D46" s="1"/>
      <c r="E46" s="1"/>
      <c r="F46" s="1"/>
      <c r="L46" s="1"/>
      <c r="M46" s="1"/>
      <c r="N46" s="1"/>
    </row>
    <row r="47" spans="2:26" x14ac:dyDescent="0.25">
      <c r="B47" s="2" t="s">
        <v>7</v>
      </c>
      <c r="C47" s="2"/>
      <c r="X47" s="8">
        <f t="shared" ref="X47:Y49" si="16">D47+H47+L47+P47+T47</f>
        <v>0</v>
      </c>
      <c r="Y47" s="8">
        <f t="shared" si="16"/>
        <v>0</v>
      </c>
      <c r="Z47" s="8">
        <f t="shared" ref="Z47:Z53" si="17">X47+Y47</f>
        <v>0</v>
      </c>
    </row>
    <row r="48" spans="2:26" x14ac:dyDescent="0.25">
      <c r="B48" s="2" t="s">
        <v>52</v>
      </c>
      <c r="C48" s="2"/>
      <c r="P48" s="9">
        <v>0</v>
      </c>
      <c r="Q48" s="8">
        <f>-T48</f>
        <v>4535.01</v>
      </c>
      <c r="R48" s="8">
        <f>P48+Q48</f>
        <v>4535.01</v>
      </c>
      <c r="T48" s="9">
        <v>-4535.01</v>
      </c>
      <c r="U48" s="8">
        <v>0</v>
      </c>
      <c r="V48" s="8">
        <f>T48+U48</f>
        <v>-4535.01</v>
      </c>
      <c r="X48" s="8">
        <f t="shared" si="16"/>
        <v>-4535.01</v>
      </c>
      <c r="Y48" s="8">
        <f t="shared" si="16"/>
        <v>4535.01</v>
      </c>
      <c r="Z48" s="8">
        <f t="shared" si="17"/>
        <v>0</v>
      </c>
    </row>
    <row r="49" spans="1:26" x14ac:dyDescent="0.25">
      <c r="B49" s="2" t="s">
        <v>300</v>
      </c>
      <c r="C49" s="6" t="s">
        <v>364</v>
      </c>
      <c r="P49" s="9">
        <v>-768.17</v>
      </c>
      <c r="Q49" s="8">
        <f>-P49</f>
        <v>768.17</v>
      </c>
      <c r="R49" s="8">
        <f>P49+Q49</f>
        <v>0</v>
      </c>
      <c r="X49" s="8">
        <f t="shared" si="16"/>
        <v>-768.17</v>
      </c>
      <c r="Y49" s="8">
        <f t="shared" si="16"/>
        <v>768.17</v>
      </c>
      <c r="Z49" s="8">
        <f t="shared" ref="Z49" si="18">X49+Y49</f>
        <v>0</v>
      </c>
    </row>
    <row r="50" spans="1:26" x14ac:dyDescent="0.25">
      <c r="B50" s="2" t="s">
        <v>298</v>
      </c>
      <c r="C50" s="6" t="s">
        <v>356</v>
      </c>
      <c r="P50" s="9">
        <v>-23224</v>
      </c>
      <c r="Q50" s="8">
        <f>-P50</f>
        <v>23224</v>
      </c>
      <c r="R50" s="8">
        <f>P50+Q50</f>
        <v>0</v>
      </c>
      <c r="X50" s="8">
        <f t="shared" ref="X50:Y52" si="19">D50+H50+L50+P50+T50</f>
        <v>-23224</v>
      </c>
      <c r="Y50" s="8">
        <f t="shared" si="19"/>
        <v>23224</v>
      </c>
      <c r="Z50" s="8">
        <f>X50+Y50</f>
        <v>0</v>
      </c>
    </row>
    <row r="51" spans="1:26" x14ac:dyDescent="0.25">
      <c r="B51" s="2" t="s">
        <v>302</v>
      </c>
      <c r="C51" s="6" t="s">
        <v>360</v>
      </c>
      <c r="P51" s="9">
        <v>-150</v>
      </c>
      <c r="Q51" s="8">
        <f>-P51</f>
        <v>150</v>
      </c>
      <c r="R51" s="8">
        <f>P51+Q51</f>
        <v>0</v>
      </c>
      <c r="X51" s="8">
        <f t="shared" si="19"/>
        <v>-150</v>
      </c>
      <c r="Y51" s="8">
        <f t="shared" si="19"/>
        <v>150</v>
      </c>
      <c r="Z51" s="8">
        <f>X51+Y51</f>
        <v>0</v>
      </c>
    </row>
    <row r="52" spans="1:26" ht="15.75" thickBot="1" x14ac:dyDescent="0.3">
      <c r="B52" s="2" t="s">
        <v>593</v>
      </c>
      <c r="C52" s="6" t="s">
        <v>359</v>
      </c>
      <c r="D52" s="9">
        <v>-12487.64</v>
      </c>
      <c r="E52" s="8">
        <f>-D52</f>
        <v>12487.64</v>
      </c>
      <c r="F52" s="8">
        <f>D52+E52</f>
        <v>0</v>
      </c>
      <c r="X52" s="8">
        <f t="shared" si="19"/>
        <v>-12487.64</v>
      </c>
      <c r="Y52" s="8">
        <f t="shared" si="19"/>
        <v>12487.64</v>
      </c>
      <c r="Z52" s="8">
        <f>X52+Y52</f>
        <v>0</v>
      </c>
    </row>
    <row r="53" spans="1:26" x14ac:dyDescent="0.25">
      <c r="B53" s="2" t="s">
        <v>39</v>
      </c>
      <c r="C53" s="2"/>
      <c r="D53" s="26">
        <f>SUM(D47:D52)</f>
        <v>-12487.64</v>
      </c>
      <c r="E53" s="26">
        <f>SUM(E47:E52)</f>
        <v>12487.64</v>
      </c>
      <c r="F53" s="26">
        <f>D53+E53</f>
        <v>0</v>
      </c>
      <c r="H53" s="26">
        <f>SUM(H47:H52)</f>
        <v>0</v>
      </c>
      <c r="I53" s="26">
        <f>SUM(I47:I52)</f>
        <v>0</v>
      </c>
      <c r="J53" s="26">
        <f>H53+I53</f>
        <v>0</v>
      </c>
      <c r="L53" s="26">
        <f>SUM(L47:L52)</f>
        <v>0</v>
      </c>
      <c r="M53" s="26">
        <f>SUM(M47:M52)</f>
        <v>0</v>
      </c>
      <c r="N53" s="26">
        <f>L53+M53</f>
        <v>0</v>
      </c>
      <c r="P53" s="26">
        <f>SUM(P47:P52)</f>
        <v>-24142.17</v>
      </c>
      <c r="Q53" s="26">
        <f>SUM(Q47:Q52)</f>
        <v>28677.18</v>
      </c>
      <c r="R53" s="26">
        <f>P53+Q53</f>
        <v>4535.010000000002</v>
      </c>
      <c r="S53" s="1"/>
      <c r="T53" s="26">
        <f>SUM(T47:T52)</f>
        <v>-4535.01</v>
      </c>
      <c r="U53" s="26">
        <f>SUM(U47:U52)</f>
        <v>0</v>
      </c>
      <c r="V53" s="26">
        <f>T53+U53</f>
        <v>-4535.01</v>
      </c>
      <c r="X53" s="26">
        <f>SUM(X47:X52)</f>
        <v>-41164.82</v>
      </c>
      <c r="Y53" s="26">
        <f>SUM(Y47:Y52)</f>
        <v>41164.82</v>
      </c>
      <c r="Z53" s="26">
        <f t="shared" si="17"/>
        <v>0</v>
      </c>
    </row>
    <row r="54" spans="1:26" x14ac:dyDescent="0.25">
      <c r="L54" s="1"/>
      <c r="M54" s="1"/>
      <c r="N54" s="1"/>
      <c r="P54" s="1"/>
      <c r="Q54" s="1"/>
      <c r="R54" s="1"/>
    </row>
    <row r="55" spans="1:26" x14ac:dyDescent="0.25">
      <c r="B55" s="2" t="s">
        <v>259</v>
      </c>
      <c r="C55" s="2"/>
      <c r="D55" s="8">
        <f>D7+D15+D28+D44+D53</f>
        <v>0</v>
      </c>
      <c r="E55" s="8">
        <f>E7+E15+E28+E44+E53</f>
        <v>378058.80000000005</v>
      </c>
      <c r="F55" s="8">
        <f>D55+E55</f>
        <v>378058.80000000005</v>
      </c>
      <c r="H55" s="8">
        <f>H7+H15+H28+H44+H53</f>
        <v>63373.160000000033</v>
      </c>
      <c r="I55" s="8">
        <f>I7+I15+I28+I44+I53</f>
        <v>94064.340000000026</v>
      </c>
      <c r="J55" s="8">
        <f>H55+I55</f>
        <v>157437.50000000006</v>
      </c>
      <c r="L55" s="8">
        <f>L7+L15+L28+L44+L53</f>
        <v>0</v>
      </c>
      <c r="M55" s="8">
        <f>M7+M15+M28+M44+M53</f>
        <v>30983.26999999999</v>
      </c>
      <c r="N55" s="8">
        <f>L55+M55</f>
        <v>30983.26999999999</v>
      </c>
      <c r="P55" s="8">
        <f>P7+P15+P28+P44+P53</f>
        <v>157120.00000000006</v>
      </c>
      <c r="Q55" s="8">
        <f>Q7+Q15+Q28+Q44+Q53</f>
        <v>346527.66</v>
      </c>
      <c r="R55" s="8">
        <f>P55+Q55</f>
        <v>503647.66000000003</v>
      </c>
      <c r="T55" s="8">
        <f>T7+T15+T28+T44+T53</f>
        <v>0</v>
      </c>
      <c r="U55" s="8">
        <f>U7+U15+U28+U44+U53</f>
        <v>0</v>
      </c>
      <c r="V55" s="8">
        <f>T55+U55</f>
        <v>0</v>
      </c>
      <c r="X55" s="8">
        <f>D55+H55+L55+P55+T55</f>
        <v>220493.16000000009</v>
      </c>
      <c r="Y55" s="8">
        <f>E55+I55+M55+Q55+U55</f>
        <v>849634.07000000007</v>
      </c>
      <c r="Z55" s="8">
        <f>X55+Y55</f>
        <v>1070127.2300000002</v>
      </c>
    </row>
    <row r="56" spans="1:26" x14ac:dyDescent="0.25">
      <c r="L56" s="1"/>
      <c r="M56" s="1"/>
      <c r="N56" s="1"/>
      <c r="P56" s="1"/>
      <c r="Q56" s="1"/>
      <c r="R56" s="1"/>
    </row>
    <row r="57" spans="1:26" x14ac:dyDescent="0.25">
      <c r="B57" s="5" t="s">
        <v>260</v>
      </c>
      <c r="C57" s="5"/>
      <c r="L57" s="1"/>
      <c r="M57" s="1"/>
      <c r="N57" s="1"/>
      <c r="P57" s="1"/>
    </row>
    <row r="58" spans="1:26" ht="15.75" thickBot="1" x14ac:dyDescent="0.3">
      <c r="B58" s="2" t="s">
        <v>244</v>
      </c>
      <c r="C58" s="2"/>
      <c r="D58" s="14">
        <v>0</v>
      </c>
      <c r="E58" s="14">
        <v>0</v>
      </c>
      <c r="F58" s="8">
        <f>D58+E58</f>
        <v>0</v>
      </c>
      <c r="H58" s="14">
        <v>0</v>
      </c>
      <c r="I58" s="14">
        <v>0</v>
      </c>
      <c r="J58" s="12">
        <f>H58+I58</f>
        <v>0</v>
      </c>
      <c r="L58" s="14">
        <v>0</v>
      </c>
      <c r="M58" s="14">
        <v>0</v>
      </c>
      <c r="N58" s="8">
        <f>L58+M58</f>
        <v>0</v>
      </c>
      <c r="P58" s="14">
        <v>0</v>
      </c>
      <c r="Q58" s="14">
        <v>0</v>
      </c>
      <c r="R58" s="8">
        <f>P58+Q58</f>
        <v>0</v>
      </c>
      <c r="T58" s="14">
        <v>0</v>
      </c>
      <c r="U58" s="14">
        <v>0</v>
      </c>
      <c r="V58" s="8">
        <f>T58+U58</f>
        <v>0</v>
      </c>
      <c r="X58" s="8">
        <f>D58+H58+L58+P58+T58</f>
        <v>0</v>
      </c>
      <c r="Y58" s="8">
        <f>E58+I58+M58+Q58+U58</f>
        <v>0</v>
      </c>
      <c r="Z58" s="8">
        <f>X58+Y58</f>
        <v>0</v>
      </c>
    </row>
    <row r="59" spans="1:26" x14ac:dyDescent="0.25">
      <c r="B59" s="2" t="s">
        <v>261</v>
      </c>
      <c r="C59" s="2"/>
      <c r="D59" s="26">
        <f>SUM(D58:D58)</f>
        <v>0</v>
      </c>
      <c r="E59" s="26">
        <f>SUM(E58:E58)</f>
        <v>0</v>
      </c>
      <c r="F59" s="26">
        <f>D59+E59</f>
        <v>0</v>
      </c>
      <c r="H59" s="26">
        <f>SUM(H58:H58)</f>
        <v>0</v>
      </c>
      <c r="I59" s="26">
        <f>SUM(I58:I58)</f>
        <v>0</v>
      </c>
      <c r="J59" s="26">
        <f>H59+I59</f>
        <v>0</v>
      </c>
      <c r="L59" s="26">
        <f>SUM(L58:L58)</f>
        <v>0</v>
      </c>
      <c r="M59" s="26">
        <f>SUM(M58:M58)</f>
        <v>0</v>
      </c>
      <c r="N59" s="26">
        <f>L59+M59</f>
        <v>0</v>
      </c>
      <c r="P59" s="26">
        <f>SUM(P58:P58)</f>
        <v>0</v>
      </c>
      <c r="Q59" s="26">
        <f>SUM(Q58:Q58)</f>
        <v>0</v>
      </c>
      <c r="R59" s="26">
        <f>P59+Q59</f>
        <v>0</v>
      </c>
      <c r="S59" s="1"/>
      <c r="T59" s="26">
        <f>SUM(T58:T58)</f>
        <v>0</v>
      </c>
      <c r="U59" s="26">
        <f>SUM(U58:U58)</f>
        <v>0</v>
      </c>
      <c r="V59" s="26">
        <f>T59+U59</f>
        <v>0</v>
      </c>
      <c r="X59" s="26">
        <f>D59+H59+L59+P59+T59</f>
        <v>0</v>
      </c>
      <c r="Y59" s="26">
        <f>E59+I59+M59+Q59+U59</f>
        <v>0</v>
      </c>
      <c r="Z59" s="26">
        <f>X59+Y59</f>
        <v>0</v>
      </c>
    </row>
    <row r="60" spans="1:26" x14ac:dyDescent="0.25">
      <c r="B60" s="2"/>
      <c r="C60" s="2"/>
    </row>
    <row r="61" spans="1:26" ht="15.75" thickBot="1" x14ac:dyDescent="0.3">
      <c r="B61" s="2" t="s">
        <v>262</v>
      </c>
      <c r="C61" s="2"/>
      <c r="D61" s="17">
        <f>ROUND(D55+D59,2)</f>
        <v>0</v>
      </c>
      <c r="E61" s="17">
        <f>ROUND(E55+E59,2)</f>
        <v>378058.8</v>
      </c>
      <c r="F61" s="17">
        <f>D61+E61</f>
        <v>378058.8</v>
      </c>
      <c r="H61" s="17">
        <f>ROUND(H55+H59,2)</f>
        <v>63373.16</v>
      </c>
      <c r="I61" s="17">
        <f>ROUND(I55+I59,2)</f>
        <v>94064.34</v>
      </c>
      <c r="J61" s="17">
        <f>H61+I61</f>
        <v>157437.5</v>
      </c>
      <c r="L61" s="17">
        <f>ROUND(L55+L59,2)</f>
        <v>0</v>
      </c>
      <c r="M61" s="17">
        <f>ROUND(M55+M59,2)</f>
        <v>30983.27</v>
      </c>
      <c r="N61" s="17">
        <f>L61+M61</f>
        <v>30983.27</v>
      </c>
      <c r="P61" s="17">
        <f>ROUND(P55+P59,2)</f>
        <v>157120</v>
      </c>
      <c r="Q61" s="17">
        <f>ROUND(Q55+Q59,2)</f>
        <v>346527.66</v>
      </c>
      <c r="R61" s="17">
        <f>P61+Q61</f>
        <v>503647.66</v>
      </c>
      <c r="T61" s="17">
        <f>ROUND(T55+T59,2)</f>
        <v>0</v>
      </c>
      <c r="U61" s="17">
        <f>ROUND(U55+U59,2)</f>
        <v>0</v>
      </c>
      <c r="V61" s="17">
        <f>T61+U61</f>
        <v>0</v>
      </c>
      <c r="X61" s="17">
        <f>D61+H61+L61+P61+T61</f>
        <v>220493.16</v>
      </c>
      <c r="Y61" s="17">
        <f>E61+I61+M61+Q61+U61</f>
        <v>849634.07000000007</v>
      </c>
      <c r="Z61" s="17">
        <f>X61+Y61</f>
        <v>1070127.23</v>
      </c>
    </row>
    <row r="62" spans="1:26" ht="15.75" thickTop="1" x14ac:dyDescent="0.25">
      <c r="B62" s="2"/>
      <c r="C62" s="2"/>
      <c r="Q62" s="1"/>
    </row>
    <row r="63" spans="1:26" x14ac:dyDescent="0.25">
      <c r="B63" s="2"/>
      <c r="C63" s="2"/>
    </row>
    <row r="64" spans="1:26" x14ac:dyDescent="0.25">
      <c r="A64" s="35" t="s">
        <v>54</v>
      </c>
      <c r="B64" s="35"/>
      <c r="C64" s="19"/>
    </row>
    <row r="66" spans="2:26" x14ac:dyDescent="0.25">
      <c r="B66" s="5" t="s">
        <v>264</v>
      </c>
      <c r="C66" s="5"/>
      <c r="T66" s="1"/>
    </row>
    <row r="67" spans="2:26" x14ac:dyDescent="0.25">
      <c r="B67" s="2" t="s">
        <v>726</v>
      </c>
      <c r="C67" s="2"/>
      <c r="D67" s="9">
        <v>0</v>
      </c>
      <c r="E67" s="9">
        <f>550000/10</f>
        <v>55000</v>
      </c>
      <c r="F67" s="8">
        <f>D67+E67</f>
        <v>55000</v>
      </c>
      <c r="H67" s="9">
        <v>0</v>
      </c>
      <c r="I67" s="9">
        <f>550000/10</f>
        <v>55000</v>
      </c>
      <c r="J67" s="8">
        <f>H67+I67</f>
        <v>55000</v>
      </c>
      <c r="L67" s="9">
        <v>0</v>
      </c>
      <c r="M67" s="9">
        <f>550000/10</f>
        <v>55000</v>
      </c>
      <c r="N67" s="8">
        <f>L67+M67</f>
        <v>55000</v>
      </c>
      <c r="P67" s="9">
        <v>0</v>
      </c>
      <c r="Q67" s="9">
        <f>550000-E67-I67-M67</f>
        <v>385000</v>
      </c>
      <c r="R67" s="8">
        <f>P67+Q67</f>
        <v>385000</v>
      </c>
      <c r="T67" s="1"/>
      <c r="U67" s="1"/>
      <c r="V67" s="1"/>
      <c r="X67" s="8">
        <f t="shared" ref="X67:Z70" si="20">D67+H67+L67+P67+T67</f>
        <v>0</v>
      </c>
      <c r="Y67" s="8">
        <f t="shared" si="20"/>
        <v>550000</v>
      </c>
      <c r="Z67" s="8">
        <f t="shared" si="20"/>
        <v>550000</v>
      </c>
    </row>
    <row r="68" spans="2:26" x14ac:dyDescent="0.25">
      <c r="B68" s="2" t="s">
        <v>263</v>
      </c>
      <c r="C68" s="2"/>
      <c r="D68" s="9">
        <v>0</v>
      </c>
      <c r="E68" s="9">
        <f>ROUND(183341/10,2)</f>
        <v>18334.099999999999</v>
      </c>
      <c r="F68" s="8">
        <f>D68+E68</f>
        <v>18334.099999999999</v>
      </c>
      <c r="H68" s="9">
        <v>0</v>
      </c>
      <c r="I68" s="9">
        <f>ROUND(183341/10,2)</f>
        <v>18334.099999999999</v>
      </c>
      <c r="J68" s="8">
        <f>H68+I68</f>
        <v>18334.099999999999</v>
      </c>
      <c r="L68" s="9">
        <v>0</v>
      </c>
      <c r="M68" s="9">
        <f>ROUND(183341/10,2)</f>
        <v>18334.099999999999</v>
      </c>
      <c r="N68" s="8">
        <f>L68+M68</f>
        <v>18334.099999999999</v>
      </c>
      <c r="P68" s="9">
        <v>0</v>
      </c>
      <c r="Q68" s="9">
        <f>183341-E68-I68-M68</f>
        <v>128338.69999999998</v>
      </c>
      <c r="R68" s="8">
        <f>P68+Q68</f>
        <v>128338.69999999998</v>
      </c>
      <c r="X68" s="8">
        <f t="shared" si="20"/>
        <v>0</v>
      </c>
      <c r="Y68" s="8">
        <f t="shared" si="20"/>
        <v>183340.99999999997</v>
      </c>
      <c r="Z68" s="8">
        <f t="shared" si="20"/>
        <v>183340.99999999997</v>
      </c>
    </row>
    <row r="69" spans="2:26" ht="15.75" thickBot="1" x14ac:dyDescent="0.3">
      <c r="B69" s="2" t="s">
        <v>265</v>
      </c>
      <c r="C69" s="2"/>
      <c r="D69" s="14">
        <v>0</v>
      </c>
      <c r="E69" s="14">
        <f>1000/10</f>
        <v>100</v>
      </c>
      <c r="F69" s="15">
        <f>D69+E69</f>
        <v>100</v>
      </c>
      <c r="H69" s="14">
        <v>0</v>
      </c>
      <c r="I69" s="14">
        <f>1000/10</f>
        <v>100</v>
      </c>
      <c r="J69" s="15">
        <f>H69+I69</f>
        <v>100</v>
      </c>
      <c r="L69" s="14">
        <v>0</v>
      </c>
      <c r="M69" s="14">
        <f>1000/10</f>
        <v>100</v>
      </c>
      <c r="N69" s="15">
        <f>L69+M69</f>
        <v>100</v>
      </c>
      <c r="P69" s="14">
        <v>0</v>
      </c>
      <c r="Q69" s="14">
        <f>1000-E69-I69-M69</f>
        <v>700</v>
      </c>
      <c r="R69" s="15">
        <f>P69+Q69</f>
        <v>700</v>
      </c>
      <c r="X69" s="15">
        <f t="shared" si="20"/>
        <v>0</v>
      </c>
      <c r="Y69" s="15">
        <f t="shared" si="20"/>
        <v>1000</v>
      </c>
      <c r="Z69" s="15">
        <f t="shared" si="20"/>
        <v>1000</v>
      </c>
    </row>
    <row r="70" spans="2:26" x14ac:dyDescent="0.25">
      <c r="B70" s="2" t="s">
        <v>266</v>
      </c>
      <c r="C70" s="2"/>
      <c r="D70" s="26">
        <f>SUM(D67:D69)</f>
        <v>0</v>
      </c>
      <c r="E70" s="26">
        <f>SUM(E67:E69)</f>
        <v>73434.100000000006</v>
      </c>
      <c r="F70" s="26">
        <f>D70+E70</f>
        <v>73434.100000000006</v>
      </c>
      <c r="H70" s="26">
        <f>SUM(H67:H69)</f>
        <v>0</v>
      </c>
      <c r="I70" s="26">
        <f>SUM(I67:I69)</f>
        <v>73434.100000000006</v>
      </c>
      <c r="J70" s="26">
        <f>H70+I70</f>
        <v>73434.100000000006</v>
      </c>
      <c r="L70" s="26">
        <f>SUM(L67:L69)</f>
        <v>0</v>
      </c>
      <c r="M70" s="26">
        <f>SUM(M67:M69)</f>
        <v>73434.100000000006</v>
      </c>
      <c r="N70" s="26">
        <f>L70+M70</f>
        <v>73434.100000000006</v>
      </c>
      <c r="P70" s="26">
        <f>SUM(P67:P69)</f>
        <v>0</v>
      </c>
      <c r="Q70" s="26">
        <f>SUM(Q67:Q69)</f>
        <v>514038.69999999995</v>
      </c>
      <c r="R70" s="26">
        <f>P70+Q70</f>
        <v>514038.69999999995</v>
      </c>
      <c r="S70" s="1"/>
      <c r="T70" s="26">
        <f>SUM(T67:T69)</f>
        <v>0</v>
      </c>
      <c r="U70" s="26">
        <f>SUM(U67:U69)</f>
        <v>0</v>
      </c>
      <c r="V70" s="26">
        <f>T70+U70</f>
        <v>0</v>
      </c>
      <c r="X70" s="26">
        <f t="shared" si="20"/>
        <v>0</v>
      </c>
      <c r="Y70" s="26">
        <f t="shared" si="20"/>
        <v>734341</v>
      </c>
      <c r="Z70" s="26">
        <f t="shared" si="20"/>
        <v>734341</v>
      </c>
    </row>
    <row r="71" spans="2:26" x14ac:dyDescent="0.25">
      <c r="B71" s="2"/>
      <c r="C71" s="2"/>
    </row>
    <row r="72" spans="2:26" x14ac:dyDescent="0.25">
      <c r="B72" s="5" t="s">
        <v>267</v>
      </c>
      <c r="C72" s="5"/>
      <c r="T72" s="1"/>
    </row>
    <row r="73" spans="2:26" x14ac:dyDescent="0.25">
      <c r="B73" s="2" t="s">
        <v>86</v>
      </c>
      <c r="C73" s="2"/>
      <c r="H73" s="1"/>
      <c r="I73" s="1"/>
      <c r="J73" s="1"/>
      <c r="L73" s="1"/>
      <c r="M73" s="1"/>
      <c r="P73" s="9">
        <v>0</v>
      </c>
      <c r="Q73" s="8">
        <f>-T73</f>
        <v>-7500</v>
      </c>
      <c r="R73" s="8">
        <f>P73+Q73</f>
        <v>-7500</v>
      </c>
      <c r="T73" s="9">
        <f>2500+5000</f>
        <v>7500</v>
      </c>
      <c r="U73" s="9">
        <v>0</v>
      </c>
      <c r="V73" s="8">
        <f>T73+U73</f>
        <v>7500</v>
      </c>
      <c r="X73" s="8">
        <f t="shared" ref="X73:Z75" si="21">D73+H73+L73+P73+T73</f>
        <v>7500</v>
      </c>
      <c r="Y73" s="8">
        <f t="shared" si="21"/>
        <v>-7500</v>
      </c>
      <c r="Z73" s="8">
        <f t="shared" si="21"/>
        <v>0</v>
      </c>
    </row>
    <row r="74" spans="2:26" ht="15.75" thickBot="1" x14ac:dyDescent="0.3">
      <c r="B74" s="2" t="s">
        <v>268</v>
      </c>
      <c r="C74" s="6" t="s">
        <v>17</v>
      </c>
      <c r="L74" s="14">
        <v>65000</v>
      </c>
      <c r="M74" s="15">
        <f>-L74</f>
        <v>-65000</v>
      </c>
      <c r="N74" s="15">
        <f>L74+M74</f>
        <v>0</v>
      </c>
      <c r="P74" s="14">
        <f>476143.75-L74</f>
        <v>411143.75</v>
      </c>
      <c r="Q74" s="15">
        <f>-P74</f>
        <v>-411143.75</v>
      </c>
      <c r="R74" s="15">
        <f>P74+Q74</f>
        <v>0</v>
      </c>
      <c r="X74" s="15">
        <f t="shared" si="21"/>
        <v>476143.75</v>
      </c>
      <c r="Y74" s="15">
        <f t="shared" si="21"/>
        <v>-476143.75</v>
      </c>
      <c r="Z74" s="15">
        <f t="shared" si="21"/>
        <v>0</v>
      </c>
    </row>
    <row r="75" spans="2:26" x14ac:dyDescent="0.25">
      <c r="B75" s="2" t="s">
        <v>269</v>
      </c>
      <c r="C75" s="2"/>
      <c r="D75" s="26">
        <f>SUM(D73:D74)</f>
        <v>0</v>
      </c>
      <c r="E75" s="26">
        <f>SUM(E73:E74)</f>
        <v>0</v>
      </c>
      <c r="F75" s="26">
        <f>D75+E75</f>
        <v>0</v>
      </c>
      <c r="H75" s="26">
        <f>SUM(H73:H74)</f>
        <v>0</v>
      </c>
      <c r="I75" s="26">
        <f>SUM(I73:I74)</f>
        <v>0</v>
      </c>
      <c r="J75" s="26">
        <f>H75+I75</f>
        <v>0</v>
      </c>
      <c r="L75" s="26">
        <f>SUM(L73:L74)</f>
        <v>65000</v>
      </c>
      <c r="M75" s="26">
        <f>SUM(M73:M74)</f>
        <v>-65000</v>
      </c>
      <c r="N75" s="26">
        <f>L75+M75</f>
        <v>0</v>
      </c>
      <c r="P75" s="26">
        <f>SUM(P73:P74)</f>
        <v>411143.75</v>
      </c>
      <c r="Q75" s="26">
        <f>SUM(Q73:Q74)</f>
        <v>-418643.75</v>
      </c>
      <c r="R75" s="26">
        <f>P75+Q75</f>
        <v>-7500</v>
      </c>
      <c r="S75" s="1"/>
      <c r="T75" s="26">
        <f>SUM(T73:T74)</f>
        <v>7500</v>
      </c>
      <c r="U75" s="26">
        <f>SUM(U73:U74)</f>
        <v>0</v>
      </c>
      <c r="V75" s="26">
        <f>T75+U75</f>
        <v>7500</v>
      </c>
      <c r="X75" s="26">
        <f t="shared" si="21"/>
        <v>483643.75</v>
      </c>
      <c r="Y75" s="26">
        <f t="shared" si="21"/>
        <v>-483643.75</v>
      </c>
      <c r="Z75" s="26">
        <f t="shared" si="21"/>
        <v>0</v>
      </c>
    </row>
    <row r="76" spans="2:26" x14ac:dyDescent="0.25">
      <c r="B76" s="2"/>
      <c r="C76" s="2"/>
    </row>
    <row r="77" spans="2:26" x14ac:dyDescent="0.25">
      <c r="B77" s="2" t="s">
        <v>270</v>
      </c>
      <c r="C77" s="2"/>
      <c r="D77" s="8">
        <f>D70+D75</f>
        <v>0</v>
      </c>
      <c r="E77" s="8">
        <f>E70+E75</f>
        <v>73434.100000000006</v>
      </c>
      <c r="F77" s="8">
        <f>D77+E77</f>
        <v>73434.100000000006</v>
      </c>
      <c r="H77" s="8">
        <f>H70+H75</f>
        <v>0</v>
      </c>
      <c r="I77" s="8">
        <f>I70+I75</f>
        <v>73434.100000000006</v>
      </c>
      <c r="J77" s="8">
        <f>H77+I77</f>
        <v>73434.100000000006</v>
      </c>
      <c r="L77" s="8">
        <f>L70+L75</f>
        <v>65000</v>
      </c>
      <c r="M77" s="8">
        <f>M70+M75</f>
        <v>8434.1000000000058</v>
      </c>
      <c r="N77" s="8">
        <f>L77+M77</f>
        <v>73434.100000000006</v>
      </c>
      <c r="P77" s="8">
        <f>P70+P75</f>
        <v>411143.75</v>
      </c>
      <c r="Q77" s="8">
        <f>Q70+Q75</f>
        <v>95394.949999999953</v>
      </c>
      <c r="R77" s="8">
        <f>P77+Q77</f>
        <v>506538.69999999995</v>
      </c>
      <c r="T77" s="8">
        <f>T70+T75</f>
        <v>7500</v>
      </c>
      <c r="U77" s="8">
        <f>U70+U75</f>
        <v>0</v>
      </c>
      <c r="V77" s="8">
        <f>T77+U77</f>
        <v>7500</v>
      </c>
      <c r="X77" s="8">
        <f>D77+H77+L77+P77+T77</f>
        <v>483643.75</v>
      </c>
      <c r="Y77" s="8">
        <f>E77+I77+M77+Q77+U77</f>
        <v>250697.24999999997</v>
      </c>
      <c r="Z77" s="8">
        <f>F77+J77+N77+R77+V77</f>
        <v>734341</v>
      </c>
    </row>
    <row r="78" spans="2:26" x14ac:dyDescent="0.25">
      <c r="B78" s="2"/>
      <c r="C78" s="2"/>
    </row>
    <row r="80" spans="2:26" x14ac:dyDescent="0.25">
      <c r="D80" t="s">
        <v>72</v>
      </c>
    </row>
    <row r="81" spans="4:18" x14ac:dyDescent="0.25">
      <c r="D81" s="2"/>
    </row>
    <row r="82" spans="4:18" x14ac:dyDescent="0.25">
      <c r="D82" s="2" t="s">
        <v>58</v>
      </c>
      <c r="E82" t="s">
        <v>271</v>
      </c>
    </row>
    <row r="86" spans="4:18" x14ac:dyDescent="0.25">
      <c r="D86" t="s">
        <v>301</v>
      </c>
    </row>
    <row r="88" spans="4:18" x14ac:dyDescent="0.25">
      <c r="D88" s="36" t="s">
        <v>3</v>
      </c>
      <c r="E88" s="36"/>
      <c r="F88" s="36"/>
      <c r="H88" s="36" t="s">
        <v>4</v>
      </c>
      <c r="I88" s="36"/>
      <c r="J88" s="36"/>
      <c r="L88" s="36" t="s">
        <v>2</v>
      </c>
      <c r="M88" s="36"/>
      <c r="N88" s="36"/>
      <c r="P88" s="36" t="s">
        <v>13</v>
      </c>
      <c r="Q88" s="36"/>
      <c r="R88" s="36"/>
    </row>
    <row r="89" spans="4:18" x14ac:dyDescent="0.25">
      <c r="D89" s="6"/>
      <c r="E89" s="6"/>
      <c r="F89" s="6"/>
      <c r="H89" s="6"/>
      <c r="I89" s="6"/>
      <c r="J89" s="6"/>
    </row>
    <row r="90" spans="4:18" x14ac:dyDescent="0.25">
      <c r="E90" s="6" t="s">
        <v>110</v>
      </c>
      <c r="F90" s="6" t="s">
        <v>111</v>
      </c>
      <c r="I90" s="6" t="s">
        <v>110</v>
      </c>
      <c r="J90" s="6" t="s">
        <v>111</v>
      </c>
      <c r="M90" s="6" t="s">
        <v>110</v>
      </c>
      <c r="N90" s="6" t="s">
        <v>111</v>
      </c>
      <c r="Q90" s="6" t="s">
        <v>110</v>
      </c>
      <c r="R90" s="6" t="s">
        <v>111</v>
      </c>
    </row>
    <row r="91" spans="4:18" x14ac:dyDescent="0.25">
      <c r="E91" s="6"/>
      <c r="F91" s="6"/>
    </row>
    <row r="92" spans="4:18" x14ac:dyDescent="0.25">
      <c r="E92" s="2" t="s">
        <v>303</v>
      </c>
      <c r="F92" s="11">
        <v>0</v>
      </c>
      <c r="I92" s="2" t="s">
        <v>329</v>
      </c>
      <c r="J92" s="9">
        <v>11353.6</v>
      </c>
      <c r="M92" s="2" t="s">
        <v>195</v>
      </c>
      <c r="N92" s="11">
        <v>0</v>
      </c>
      <c r="Q92" s="2" t="s">
        <v>300</v>
      </c>
      <c r="R92" s="9">
        <v>16436.169999999998</v>
      </c>
    </row>
    <row r="93" spans="4:18" x14ac:dyDescent="0.25">
      <c r="E93" s="2" t="s">
        <v>113</v>
      </c>
      <c r="F93" s="13">
        <f>SUM(F92:F92)</f>
        <v>0</v>
      </c>
      <c r="I93" s="2" t="s">
        <v>113</v>
      </c>
      <c r="J93" s="13">
        <f>J92</f>
        <v>11353.6</v>
      </c>
      <c r="M93" s="2" t="s">
        <v>113</v>
      </c>
      <c r="N93" s="13">
        <f>N92</f>
        <v>0</v>
      </c>
      <c r="Q93" s="2" t="s">
        <v>275</v>
      </c>
      <c r="R93" s="9">
        <v>62393.5</v>
      </c>
    </row>
    <row r="94" spans="4:18" x14ac:dyDescent="0.25">
      <c r="Q94" s="2" t="s">
        <v>113</v>
      </c>
      <c r="R94" s="13">
        <f>SUM(R92:R93)</f>
        <v>78829.67</v>
      </c>
    </row>
    <row r="96" spans="4:18" x14ac:dyDescent="0.25">
      <c r="D96" s="6" t="s">
        <v>118</v>
      </c>
      <c r="E96" s="1"/>
    </row>
    <row r="97" spans="4:18" x14ac:dyDescent="0.25">
      <c r="D97" s="2" t="s">
        <v>58</v>
      </c>
      <c r="E97" t="s">
        <v>727</v>
      </c>
      <c r="R97" s="1"/>
    </row>
    <row r="98" spans="4:18" x14ac:dyDescent="0.25">
      <c r="D98" s="2" t="s">
        <v>60</v>
      </c>
      <c r="E98" t="s">
        <v>357</v>
      </c>
    </row>
    <row r="99" spans="4:18" x14ac:dyDescent="0.25">
      <c r="D99" s="2" t="s">
        <v>109</v>
      </c>
      <c r="E99" t="s">
        <v>272</v>
      </c>
    </row>
    <row r="107" spans="4:18" x14ac:dyDescent="0.25">
      <c r="D107" s="2"/>
    </row>
    <row r="108" spans="4:18" x14ac:dyDescent="0.25">
      <c r="D108" s="2"/>
    </row>
  </sheetData>
  <sortState xmlns:xlrd2="http://schemas.microsoft.com/office/spreadsheetml/2017/richdata2" ref="C48:Z51">
    <sortCondition ref="C48:C51"/>
  </sortState>
  <mergeCells count="11">
    <mergeCell ref="X4:Z4"/>
    <mergeCell ref="D4:F4"/>
    <mergeCell ref="H4:J4"/>
    <mergeCell ref="L4:N4"/>
    <mergeCell ref="P4:R4"/>
    <mergeCell ref="T4:V4"/>
    <mergeCell ref="A64:B64"/>
    <mergeCell ref="D88:F88"/>
    <mergeCell ref="H88:J88"/>
    <mergeCell ref="L88:N88"/>
    <mergeCell ref="P88:R88"/>
  </mergeCells>
  <printOptions horizontalCentered="1"/>
  <pageMargins left="0.25" right="0.25" top="0.75" bottom="0.75" header="0.3" footer="0.3"/>
  <pageSetup paperSize="5" scale="62" fitToHeight="0" orientation="landscape" r:id="rId1"/>
  <headerFooter>
    <oddFooter>&amp;L&amp;F&amp;CPage &amp;P of &amp;N&amp;R6 August 2017</oddFooter>
  </headerFooter>
  <rowBreaks count="1" manualBreakCount="1">
    <brk id="63"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AB103"/>
  <sheetViews>
    <sheetView workbookViewId="0">
      <pane xSplit="2" ySplit="6" topLeftCell="C42" activePane="bottomRight" state="frozen"/>
      <selection activeCell="C9" sqref="C9"/>
      <selection pane="topRight" activeCell="C9" sqref="C9"/>
      <selection pane="bottomLeft" activeCell="C9" sqref="C9"/>
      <selection pane="bottomRight" activeCell="A70" sqref="A70"/>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5703125" bestFit="1" customWidth="1"/>
  </cols>
  <sheetData>
    <row r="1" spans="1:28" x14ac:dyDescent="0.25">
      <c r="A1" s="6"/>
    </row>
    <row r="2" spans="1:28" x14ac:dyDescent="0.25">
      <c r="D2" t="s">
        <v>608</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224</v>
      </c>
      <c r="C7" s="2"/>
      <c r="D7" s="8">
        <f>ROUND('FY14'!D52,2)</f>
        <v>0</v>
      </c>
      <c r="E7" s="8">
        <f>ROUND('FY14'!E52,2)</f>
        <v>274852.43</v>
      </c>
      <c r="F7" s="8">
        <f>D7+E7</f>
        <v>274852.43</v>
      </c>
      <c r="H7" s="8">
        <f>ROUND('FY14'!H52,2)</f>
        <v>3859.75</v>
      </c>
      <c r="I7" s="8">
        <f>ROUND('FY14'!I52,2)</f>
        <v>163158.54</v>
      </c>
      <c r="J7" s="8">
        <f>H7+I7</f>
        <v>167018.29</v>
      </c>
      <c r="L7" s="8">
        <f>ROUND('FY14'!L52,2)</f>
        <v>31727</v>
      </c>
      <c r="M7" s="8">
        <f>ROUND('FY14'!M52,2)</f>
        <v>4394.47</v>
      </c>
      <c r="N7" s="8">
        <f>L7+M7</f>
        <v>36121.47</v>
      </c>
      <c r="P7" s="8">
        <f>ROUND('FY14'!P52,2)</f>
        <v>178354.23</v>
      </c>
      <c r="Q7" s="8">
        <f>ROUND('FY14'!Q52,2)</f>
        <v>392480.34</v>
      </c>
      <c r="R7" s="8">
        <f>P7+Q7</f>
        <v>570834.57000000007</v>
      </c>
      <c r="T7" s="8">
        <f>ROUND('FY14'!T52,2)</f>
        <v>0</v>
      </c>
      <c r="U7" s="8">
        <f>ROUND('FY14'!U52,2)</f>
        <v>0</v>
      </c>
      <c r="V7" s="8">
        <f>T7+U7</f>
        <v>0</v>
      </c>
      <c r="X7" s="8">
        <f>D7+H7+L7+P7+T7</f>
        <v>213940.98</v>
      </c>
      <c r="Y7" s="8">
        <f>E7+I7+M7+Q7+U7</f>
        <v>834885.78</v>
      </c>
      <c r="Z7" s="8">
        <f>F7+J7+N7+R7+V7</f>
        <v>1048826.76</v>
      </c>
    </row>
    <row r="9" spans="1:28" x14ac:dyDescent="0.25">
      <c r="B9" s="5" t="s">
        <v>11</v>
      </c>
      <c r="C9" s="5"/>
      <c r="T9" s="1"/>
      <c r="U9" s="1"/>
      <c r="V9" s="1"/>
    </row>
    <row r="10" spans="1:28" x14ac:dyDescent="0.25">
      <c r="B10" s="2" t="s">
        <v>728</v>
      </c>
      <c r="C10" s="2"/>
      <c r="D10" s="9">
        <v>0</v>
      </c>
      <c r="E10" s="9">
        <f>ROUND(604687.48/10,2)</f>
        <v>60468.75</v>
      </c>
      <c r="F10" s="8">
        <f>D10+E10</f>
        <v>60468.75</v>
      </c>
      <c r="H10" s="9">
        <v>0</v>
      </c>
      <c r="I10" s="9">
        <f>ROUND(604687.48/10,2)</f>
        <v>60468.75</v>
      </c>
      <c r="J10" s="8">
        <f>H10+I10</f>
        <v>60468.75</v>
      </c>
      <c r="L10" s="9">
        <v>0</v>
      </c>
      <c r="M10" s="9">
        <f>ROUND(604687.48/10,2)</f>
        <v>60468.75</v>
      </c>
      <c r="N10" s="8">
        <f>L10+M10</f>
        <v>60468.75</v>
      </c>
      <c r="P10" s="9">
        <v>0</v>
      </c>
      <c r="Q10" s="9">
        <f>604687.48-E10-I10-M10</f>
        <v>423281.23</v>
      </c>
      <c r="R10" s="8">
        <f>P10+Q10</f>
        <v>423281.23</v>
      </c>
      <c r="T10" s="1"/>
      <c r="U10" s="1"/>
      <c r="V10" s="1"/>
      <c r="X10" s="8">
        <f t="shared" ref="X10:Z15" si="0">D10+H10+L10+P10+T10</f>
        <v>0</v>
      </c>
      <c r="Y10" s="8">
        <f t="shared" si="0"/>
        <v>604687.48</v>
      </c>
      <c r="Z10" s="8">
        <f t="shared" si="0"/>
        <v>604687.48</v>
      </c>
      <c r="AB10" s="1"/>
    </row>
    <row r="11" spans="1:28" x14ac:dyDescent="0.25">
      <c r="B11" s="2" t="s">
        <v>5</v>
      </c>
      <c r="C11" s="2"/>
      <c r="D11" s="9">
        <v>0</v>
      </c>
      <c r="E11" s="9">
        <v>0</v>
      </c>
      <c r="F11" s="8">
        <f>D11+E11</f>
        <v>0</v>
      </c>
      <c r="H11" s="9">
        <v>0</v>
      </c>
      <c r="I11" s="9">
        <v>0</v>
      </c>
      <c r="J11" s="8">
        <f>H11+I11</f>
        <v>0</v>
      </c>
      <c r="L11" s="9">
        <v>0</v>
      </c>
      <c r="M11" s="9">
        <v>0</v>
      </c>
      <c r="N11" s="8">
        <f>L11+M11</f>
        <v>0</v>
      </c>
      <c r="P11" s="9">
        <v>0</v>
      </c>
      <c r="Q11" s="9">
        <v>0</v>
      </c>
      <c r="R11" s="8">
        <f>P11+Q11</f>
        <v>0</v>
      </c>
      <c r="T11" s="1"/>
      <c r="U11" s="1"/>
      <c r="V11" s="1"/>
      <c r="X11" s="8">
        <f t="shared" si="0"/>
        <v>0</v>
      </c>
      <c r="Y11" s="8">
        <f t="shared" si="0"/>
        <v>0</v>
      </c>
      <c r="Z11" s="8">
        <f t="shared" si="0"/>
        <v>0</v>
      </c>
    </row>
    <row r="12" spans="1:28" x14ac:dyDescent="0.25">
      <c r="B12" s="2" t="s">
        <v>225</v>
      </c>
      <c r="C12" s="2"/>
      <c r="D12" s="9">
        <v>0</v>
      </c>
      <c r="E12" s="9">
        <f>ROUND(244907/10,2)</f>
        <v>24490.7</v>
      </c>
      <c r="F12" s="8">
        <f>D12+E12</f>
        <v>24490.7</v>
      </c>
      <c r="H12" s="9">
        <v>0</v>
      </c>
      <c r="I12" s="9">
        <f>ROUND(244907/10,2)</f>
        <v>24490.7</v>
      </c>
      <c r="J12" s="8">
        <f>H12+I12</f>
        <v>24490.7</v>
      </c>
      <c r="L12" s="9">
        <v>0</v>
      </c>
      <c r="M12" s="9">
        <f>ROUND(244907/10,2)</f>
        <v>24490.7</v>
      </c>
      <c r="N12" s="8">
        <f>L12+M12</f>
        <v>24490.7</v>
      </c>
      <c r="P12" s="9">
        <v>0</v>
      </c>
      <c r="Q12" s="9">
        <f>244907-E12-I12-M12</f>
        <v>171434.89999999997</v>
      </c>
      <c r="R12" s="8">
        <f>P12+Q12</f>
        <v>171434.89999999997</v>
      </c>
      <c r="T12" s="1"/>
      <c r="U12" s="1"/>
      <c r="V12" s="1"/>
      <c r="X12" s="8">
        <f t="shared" si="0"/>
        <v>0</v>
      </c>
      <c r="Y12" s="8">
        <f t="shared" si="0"/>
        <v>244906.99999999997</v>
      </c>
      <c r="Z12" s="8">
        <f t="shared" si="0"/>
        <v>244906.99999999997</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226</v>
      </c>
      <c r="C14" s="2"/>
      <c r="D14" s="9">
        <v>0</v>
      </c>
      <c r="E14" s="9">
        <f>ROUND(3393.98/10,2)</f>
        <v>339.4</v>
      </c>
      <c r="F14" s="15">
        <f>D14+E14</f>
        <v>339.4</v>
      </c>
      <c r="H14" s="14">
        <v>0</v>
      </c>
      <c r="I14" s="9">
        <f>ROUND(3393.98/10,2)</f>
        <v>339.4</v>
      </c>
      <c r="J14" s="15">
        <f>H14+I14</f>
        <v>339.4</v>
      </c>
      <c r="L14" s="14">
        <v>0</v>
      </c>
      <c r="M14" s="9">
        <f>ROUND(3393.98/10,2)</f>
        <v>339.4</v>
      </c>
      <c r="N14" s="15">
        <f>L14+M14</f>
        <v>339.4</v>
      </c>
      <c r="P14" s="14">
        <v>0</v>
      </c>
      <c r="Q14" s="14">
        <f>3393.98-E14-I14-M14</f>
        <v>2375.7799999999997</v>
      </c>
      <c r="R14" s="15">
        <f>P14+Q14</f>
        <v>2375.7799999999997</v>
      </c>
      <c r="T14" s="1"/>
      <c r="U14" s="1"/>
      <c r="V14" s="1"/>
      <c r="X14" s="15">
        <f t="shared" si="0"/>
        <v>0</v>
      </c>
      <c r="Y14" s="15">
        <f t="shared" si="0"/>
        <v>3393.9799999999996</v>
      </c>
      <c r="Z14" s="15">
        <f t="shared" si="0"/>
        <v>3393.9799999999996</v>
      </c>
    </row>
    <row r="15" spans="1:28" x14ac:dyDescent="0.25">
      <c r="B15" s="2" t="s">
        <v>28</v>
      </c>
      <c r="C15" s="2"/>
      <c r="D15" s="26">
        <f>SUM(D10:D14)</f>
        <v>0</v>
      </c>
      <c r="E15" s="26">
        <f>SUM(E10:E14)</f>
        <v>85298.849999999991</v>
      </c>
      <c r="F15" s="26">
        <f>D15+E15</f>
        <v>85298.849999999991</v>
      </c>
      <c r="H15" s="26">
        <f>SUM(H10:H14)</f>
        <v>0</v>
      </c>
      <c r="I15" s="26">
        <f>SUM(I10:I14)</f>
        <v>85298.849999999991</v>
      </c>
      <c r="J15" s="26">
        <f>H15+I15</f>
        <v>85298.849999999991</v>
      </c>
      <c r="L15" s="26">
        <f>SUM(L10:L14)</f>
        <v>0</v>
      </c>
      <c r="M15" s="26">
        <f>SUM(M10:M14)</f>
        <v>85298.849999999991</v>
      </c>
      <c r="N15" s="26">
        <f>L15+M15</f>
        <v>85298.849999999991</v>
      </c>
      <c r="P15" s="26">
        <f>SUM(P10:P14)</f>
        <v>0</v>
      </c>
      <c r="Q15" s="26">
        <f>SUM(Q10:Q14)</f>
        <v>597091.90999999992</v>
      </c>
      <c r="R15" s="26">
        <f>P15+Q15</f>
        <v>597091.90999999992</v>
      </c>
      <c r="S15" s="1"/>
      <c r="T15" s="26">
        <f>SUM(T10:T14)</f>
        <v>0</v>
      </c>
      <c r="U15" s="26">
        <f>SUM(U10:U14)</f>
        <v>0</v>
      </c>
      <c r="V15" s="26">
        <f>T15+U15</f>
        <v>0</v>
      </c>
      <c r="X15" s="26">
        <f t="shared" si="0"/>
        <v>0</v>
      </c>
      <c r="Y15" s="26">
        <f t="shared" si="0"/>
        <v>852988.46</v>
      </c>
      <c r="Z15" s="26">
        <f t="shared" si="0"/>
        <v>852988.46</v>
      </c>
    </row>
    <row r="17" spans="2:26" x14ac:dyDescent="0.25">
      <c r="B17" s="5" t="s">
        <v>227</v>
      </c>
      <c r="C17" s="5"/>
      <c r="D17" s="1"/>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79</v>
      </c>
      <c r="C19" s="2"/>
      <c r="H19" s="1"/>
      <c r="I19" s="1"/>
      <c r="J19" s="1"/>
      <c r="L19" s="1"/>
      <c r="M19" s="1"/>
      <c r="P19" s="8">
        <v>0</v>
      </c>
      <c r="Q19" s="8">
        <f>-T19</f>
        <v>-7500</v>
      </c>
      <c r="R19" s="8">
        <f>P19+Q19</f>
        <v>-7500</v>
      </c>
      <c r="T19" s="9">
        <f>2500+5000</f>
        <v>7500</v>
      </c>
      <c r="U19" s="9">
        <v>0</v>
      </c>
      <c r="V19" s="8">
        <f>T19+U19</f>
        <v>7500</v>
      </c>
      <c r="X19" s="8">
        <f t="shared" si="8"/>
        <v>7500</v>
      </c>
      <c r="Y19" s="8">
        <f t="shared" si="8"/>
        <v>-7500</v>
      </c>
      <c r="Z19" s="8">
        <f t="shared" si="8"/>
        <v>0</v>
      </c>
    </row>
    <row r="20" spans="2:26" x14ac:dyDescent="0.25">
      <c r="B20" s="2" t="s">
        <v>195</v>
      </c>
      <c r="C20" s="6" t="s">
        <v>17</v>
      </c>
      <c r="L20" s="9">
        <f>90000-31727</f>
        <v>58273</v>
      </c>
      <c r="M20" s="8">
        <f>-L20</f>
        <v>-58273</v>
      </c>
      <c r="N20" s="8">
        <f>L20+M20</f>
        <v>0</v>
      </c>
      <c r="P20" s="9">
        <f>486475-90000</f>
        <v>396475</v>
      </c>
      <c r="Q20" s="8">
        <f>-P20</f>
        <v>-396475</v>
      </c>
      <c r="R20" s="8">
        <f>P20+Q20</f>
        <v>0</v>
      </c>
      <c r="X20" s="8">
        <f t="shared" ref="X20:Z25" si="9">D20+H20+L20+P20+T20</f>
        <v>454748</v>
      </c>
      <c r="Y20" s="8">
        <f t="shared" si="9"/>
        <v>-454748</v>
      </c>
      <c r="Z20" s="8">
        <f t="shared" si="9"/>
        <v>0</v>
      </c>
    </row>
    <row r="21" spans="2:26" x14ac:dyDescent="0.25">
      <c r="B21" s="2" t="s">
        <v>329</v>
      </c>
      <c r="C21" s="6" t="s">
        <v>358</v>
      </c>
      <c r="H21" s="9">
        <v>23000</v>
      </c>
      <c r="I21" s="8">
        <f>-H21</f>
        <v>-23000</v>
      </c>
      <c r="J21" s="8">
        <f>H21+I21</f>
        <v>0</v>
      </c>
      <c r="X21" s="8">
        <f t="shared" si="9"/>
        <v>23000</v>
      </c>
      <c r="Y21" s="8">
        <f t="shared" si="9"/>
        <v>-23000</v>
      </c>
      <c r="Z21" s="8">
        <f t="shared" si="9"/>
        <v>0</v>
      </c>
    </row>
    <row r="22" spans="2:26" x14ac:dyDescent="0.25">
      <c r="B22" s="2" t="s">
        <v>249</v>
      </c>
      <c r="C22" s="6" t="s">
        <v>373</v>
      </c>
      <c r="L22" s="9">
        <f>100000-90623</f>
        <v>9377</v>
      </c>
      <c r="M22" s="8">
        <f>-L22</f>
        <v>-9377</v>
      </c>
      <c r="N22" s="8">
        <f>L22+M22</f>
        <v>0</v>
      </c>
      <c r="P22" s="9">
        <f>-90623+90623</f>
        <v>0</v>
      </c>
      <c r="Q22" s="8">
        <f>-P22</f>
        <v>0</v>
      </c>
      <c r="R22" s="8">
        <f>P22+Q22</f>
        <v>0</v>
      </c>
      <c r="X22" s="8">
        <f t="shared" si="9"/>
        <v>9377</v>
      </c>
      <c r="Y22" s="8">
        <f t="shared" si="9"/>
        <v>-9377</v>
      </c>
      <c r="Z22" s="8">
        <f t="shared" si="9"/>
        <v>0</v>
      </c>
    </row>
    <row r="23" spans="2:26" x14ac:dyDescent="0.25">
      <c r="B23" s="2" t="s">
        <v>276</v>
      </c>
      <c r="C23" s="6" t="s">
        <v>363</v>
      </c>
      <c r="P23" s="9">
        <f>109590-87015</f>
        <v>22575</v>
      </c>
      <c r="Q23" s="8">
        <f>-P23</f>
        <v>-22575</v>
      </c>
      <c r="R23" s="8">
        <f>P23+Q23</f>
        <v>0</v>
      </c>
      <c r="X23" s="8">
        <f t="shared" si="9"/>
        <v>22575</v>
      </c>
      <c r="Y23" s="8">
        <f t="shared" si="9"/>
        <v>-22575</v>
      </c>
      <c r="Z23" s="8">
        <f t="shared" si="9"/>
        <v>0</v>
      </c>
    </row>
    <row r="24" spans="2:26" x14ac:dyDescent="0.25">
      <c r="B24" s="2" t="s">
        <v>300</v>
      </c>
      <c r="C24" s="6" t="s">
        <v>364</v>
      </c>
      <c r="P24" s="9">
        <v>47000</v>
      </c>
      <c r="Q24" s="8">
        <f>-P24</f>
        <v>-47000</v>
      </c>
      <c r="R24" s="8">
        <f>P24+Q24</f>
        <v>0</v>
      </c>
      <c r="X24" s="8">
        <f t="shared" si="9"/>
        <v>47000</v>
      </c>
      <c r="Y24" s="8">
        <f t="shared" si="9"/>
        <v>-47000</v>
      </c>
      <c r="Z24" s="8">
        <f t="shared" si="9"/>
        <v>0</v>
      </c>
    </row>
    <row r="25" spans="2:26" ht="15.75" thickBot="1" x14ac:dyDescent="0.3">
      <c r="B25" s="2" t="s">
        <v>303</v>
      </c>
      <c r="C25" s="6" t="s">
        <v>374</v>
      </c>
      <c r="D25" s="9">
        <v>47618</v>
      </c>
      <c r="E25" s="8">
        <f>-D25</f>
        <v>-47618</v>
      </c>
      <c r="F25" s="8">
        <f>D25+E25</f>
        <v>0</v>
      </c>
      <c r="X25" s="8">
        <f t="shared" si="9"/>
        <v>47618</v>
      </c>
      <c r="Y25" s="8">
        <f t="shared" si="9"/>
        <v>-47618</v>
      </c>
      <c r="Z25" s="8">
        <f t="shared" si="9"/>
        <v>0</v>
      </c>
    </row>
    <row r="26" spans="2:26" x14ac:dyDescent="0.25">
      <c r="B26" s="2" t="s">
        <v>228</v>
      </c>
      <c r="C26" s="2"/>
      <c r="D26" s="26">
        <f>SUM(D18:D25)</f>
        <v>47618</v>
      </c>
      <c r="E26" s="26">
        <f>SUM(E18:E25)</f>
        <v>-47618</v>
      </c>
      <c r="F26" s="26">
        <f>D26+E26</f>
        <v>0</v>
      </c>
      <c r="H26" s="26">
        <f>SUM(H18:H25)</f>
        <v>23000</v>
      </c>
      <c r="I26" s="26">
        <f>SUM(I18:I25)</f>
        <v>-23000</v>
      </c>
      <c r="J26" s="26">
        <f>H26+I26</f>
        <v>0</v>
      </c>
      <c r="L26" s="26">
        <f>SUM(L18:L25)</f>
        <v>67650</v>
      </c>
      <c r="M26" s="26">
        <f>SUM(M18:M25)</f>
        <v>-67650</v>
      </c>
      <c r="N26" s="26">
        <f>L26+M26</f>
        <v>0</v>
      </c>
      <c r="P26" s="26">
        <f>SUM(P18:P25)</f>
        <v>466050</v>
      </c>
      <c r="Q26" s="26">
        <f>SUM(Q18:Q25)</f>
        <v>-473550</v>
      </c>
      <c r="R26" s="26">
        <f>P26+Q26</f>
        <v>-7500</v>
      </c>
      <c r="S26" s="1"/>
      <c r="T26" s="26">
        <f>SUM(T18:T25)</f>
        <v>7500</v>
      </c>
      <c r="U26" s="26">
        <f>SUM(U18:U25)</f>
        <v>0</v>
      </c>
      <c r="V26" s="26">
        <f>T26+U26</f>
        <v>7500</v>
      </c>
      <c r="X26" s="26">
        <f>D26+H26+L26+P26+T26</f>
        <v>611818</v>
      </c>
      <c r="Y26" s="26">
        <f>E26+I26+M26+Q26+U26</f>
        <v>-611818</v>
      </c>
      <c r="Z26" s="26">
        <f>F26+J26+N26+R26+V26</f>
        <v>0</v>
      </c>
    </row>
    <row r="27" spans="2:26" x14ac:dyDescent="0.25">
      <c r="H27" s="1"/>
      <c r="I27" s="1"/>
      <c r="J27" s="1"/>
      <c r="L27" s="1"/>
      <c r="M27" s="1"/>
      <c r="N27" s="1"/>
      <c r="P27" s="1"/>
      <c r="Q27" s="1"/>
      <c r="R27" s="1"/>
    </row>
    <row r="28" spans="2:26" x14ac:dyDescent="0.25">
      <c r="B28" s="5" t="s">
        <v>274</v>
      </c>
      <c r="C28" s="5"/>
      <c r="H28" s="1"/>
      <c r="I28" s="1"/>
      <c r="J28" s="1"/>
      <c r="L28" s="1"/>
      <c r="M28" s="1"/>
      <c r="N28" s="1"/>
      <c r="P28" s="1"/>
      <c r="Q28" s="1"/>
      <c r="R28" s="1"/>
    </row>
    <row r="29" spans="2:26" ht="15.75" thickBot="1" x14ac:dyDescent="0.3">
      <c r="B29" s="2" t="s">
        <v>275</v>
      </c>
      <c r="C29" s="6" t="s">
        <v>375</v>
      </c>
      <c r="H29" s="1"/>
      <c r="I29" s="1"/>
      <c r="J29" s="1"/>
      <c r="L29" s="1"/>
      <c r="M29" s="1"/>
      <c r="N29" s="1"/>
      <c r="P29" s="9">
        <v>75000</v>
      </c>
      <c r="Q29" s="8">
        <f>-P29</f>
        <v>-75000</v>
      </c>
      <c r="R29" s="8">
        <f>P29+Q29</f>
        <v>0</v>
      </c>
      <c r="X29" s="8">
        <f t="shared" ref="X29:Z30" si="10">D29+H29+L29+P29+T29</f>
        <v>75000</v>
      </c>
      <c r="Y29" s="8">
        <f t="shared" si="10"/>
        <v>-75000</v>
      </c>
      <c r="Z29" s="8">
        <f t="shared" si="10"/>
        <v>0</v>
      </c>
    </row>
    <row r="30" spans="2:26" x14ac:dyDescent="0.25">
      <c r="B30" s="2" t="s">
        <v>277</v>
      </c>
      <c r="C30" s="2"/>
      <c r="D30" s="26">
        <f>SUM(D29:D29)</f>
        <v>0</v>
      </c>
      <c r="E30" s="26">
        <f>SUM(E29:E29)</f>
        <v>0</v>
      </c>
      <c r="F30" s="26">
        <f>D30+E30</f>
        <v>0</v>
      </c>
      <c r="H30" s="26">
        <f>SUM(H29:H29)</f>
        <v>0</v>
      </c>
      <c r="I30" s="26">
        <f>SUM(I29:I29)</f>
        <v>0</v>
      </c>
      <c r="J30" s="26">
        <f>H30+I30</f>
        <v>0</v>
      </c>
      <c r="L30" s="26">
        <f>SUM(L29:L29)</f>
        <v>0</v>
      </c>
      <c r="M30" s="26">
        <f>SUM(M29:M29)</f>
        <v>0</v>
      </c>
      <c r="N30" s="26">
        <f>L30+M30</f>
        <v>0</v>
      </c>
      <c r="P30" s="26">
        <f>SUM(P29:P29)</f>
        <v>75000</v>
      </c>
      <c r="Q30" s="26">
        <f>SUM(Q29:Q29)</f>
        <v>-75000</v>
      </c>
      <c r="R30" s="26">
        <f>P30+Q30</f>
        <v>0</v>
      </c>
      <c r="S30" s="1"/>
      <c r="T30" s="26">
        <f>SUM(T29:T29)</f>
        <v>0</v>
      </c>
      <c r="U30" s="26">
        <f>SUM(U29:U29)</f>
        <v>0</v>
      </c>
      <c r="V30" s="26">
        <f>T30+U30</f>
        <v>0</v>
      </c>
      <c r="X30" s="26">
        <f t="shared" si="10"/>
        <v>75000</v>
      </c>
      <c r="Y30" s="26">
        <f t="shared" si="10"/>
        <v>-75000</v>
      </c>
      <c r="Z30" s="26">
        <f t="shared" si="10"/>
        <v>0</v>
      </c>
    </row>
    <row r="31" spans="2:26" x14ac:dyDescent="0.25">
      <c r="H31" s="1"/>
      <c r="I31" s="1"/>
      <c r="J31" s="1"/>
      <c r="L31" s="1"/>
      <c r="M31" s="1"/>
      <c r="N31" s="1"/>
      <c r="P31" s="1"/>
      <c r="Q31" s="1"/>
      <c r="R31" s="1"/>
    </row>
    <row r="32" spans="2:26" x14ac:dyDescent="0.25">
      <c r="B32" s="5" t="s">
        <v>8</v>
      </c>
      <c r="C32" s="5"/>
      <c r="H32" s="1"/>
      <c r="I32" s="1"/>
      <c r="J32" s="1"/>
      <c r="L32" s="1"/>
      <c r="M32" s="1"/>
      <c r="N32" s="1"/>
      <c r="P32" s="1"/>
      <c r="Q32" s="1"/>
    </row>
    <row r="33" spans="2:26" x14ac:dyDescent="0.25">
      <c r="B33" s="2" t="s">
        <v>7</v>
      </c>
      <c r="C33" s="2"/>
      <c r="D33" s="1"/>
      <c r="E33" s="1"/>
      <c r="F33" s="1"/>
      <c r="H33" s="1"/>
      <c r="I33" s="1"/>
      <c r="J33" s="1"/>
      <c r="T33" s="9">
        <v>0</v>
      </c>
      <c r="U33" s="9">
        <v>0</v>
      </c>
      <c r="V33" s="8">
        <f>T33+U33</f>
        <v>0</v>
      </c>
      <c r="X33" s="8">
        <f>D33+H33+L33+P33+T33</f>
        <v>0</v>
      </c>
      <c r="Y33" s="8">
        <f>E33+I33+M33+Q33+U33</f>
        <v>0</v>
      </c>
      <c r="Z33" s="8">
        <f>X33+Y33</f>
        <v>0</v>
      </c>
    </row>
    <row r="34" spans="2:26" x14ac:dyDescent="0.25">
      <c r="B34" s="2" t="s">
        <v>52</v>
      </c>
      <c r="C34" s="2"/>
      <c r="D34" s="1"/>
      <c r="E34" s="1"/>
      <c r="F34" s="1"/>
      <c r="H34" s="1"/>
      <c r="I34" s="1"/>
      <c r="J34" s="1"/>
      <c r="L34" s="1"/>
      <c r="M34" s="1"/>
      <c r="N34" s="1"/>
      <c r="P34" s="1"/>
      <c r="Q34" s="1"/>
      <c r="R34" s="1"/>
      <c r="T34" s="9">
        <v>-2969.5</v>
      </c>
      <c r="U34" s="9">
        <v>0</v>
      </c>
      <c r="V34" s="8">
        <f>T34+U34</f>
        <v>-2969.5</v>
      </c>
      <c r="X34" s="8">
        <f>D34+H34+L34+P34+T34</f>
        <v>-2969.5</v>
      </c>
      <c r="Y34" s="8">
        <f>E34+I34+M34+Q34+U34</f>
        <v>0</v>
      </c>
      <c r="Z34" s="8">
        <f>X34+Y34</f>
        <v>-2969.5</v>
      </c>
    </row>
    <row r="35" spans="2:26" x14ac:dyDescent="0.25">
      <c r="B35" s="2" t="s">
        <v>195</v>
      </c>
      <c r="C35" s="6" t="s">
        <v>17</v>
      </c>
      <c r="D35" s="1"/>
      <c r="E35" s="1"/>
      <c r="F35" s="1"/>
      <c r="L35" s="9">
        <v>-90000</v>
      </c>
      <c r="M35" s="9">
        <v>0</v>
      </c>
      <c r="N35" s="8">
        <f>L35+M35</f>
        <v>-90000</v>
      </c>
      <c r="P35" s="9">
        <f>-486475+90000</f>
        <v>-396475</v>
      </c>
      <c r="Q35" s="9">
        <v>0</v>
      </c>
      <c r="R35" s="8">
        <f>P35+Q35</f>
        <v>-396475</v>
      </c>
      <c r="X35" s="8">
        <f t="shared" ref="X35:Y42" si="11">D35+H35+L35+P35+T35</f>
        <v>-486475</v>
      </c>
      <c r="Y35" s="8">
        <f t="shared" si="11"/>
        <v>0</v>
      </c>
      <c r="Z35" s="8">
        <f t="shared" ref="Z35:Z43" si="12">X35+Y35</f>
        <v>-486475</v>
      </c>
    </row>
    <row r="36" spans="2:26" x14ac:dyDescent="0.25">
      <c r="B36" s="2" t="s">
        <v>138</v>
      </c>
      <c r="C36" s="6" t="s">
        <v>162</v>
      </c>
      <c r="H36" s="9">
        <v>-3859.75</v>
      </c>
      <c r="I36" s="9">
        <v>0</v>
      </c>
      <c r="J36" s="8">
        <f>H36+I36</f>
        <v>-3859.75</v>
      </c>
      <c r="P36" s="9">
        <v>-716.23</v>
      </c>
      <c r="Q36" s="9">
        <v>0</v>
      </c>
      <c r="R36" s="8">
        <f>P36+Q36</f>
        <v>-716.23</v>
      </c>
      <c r="X36" s="8">
        <f t="shared" si="11"/>
        <v>-4575.9799999999996</v>
      </c>
      <c r="Y36" s="8">
        <f t="shared" si="11"/>
        <v>0</v>
      </c>
      <c r="Z36" s="8">
        <f t="shared" si="12"/>
        <v>-4575.9799999999996</v>
      </c>
    </row>
    <row r="37" spans="2:26" x14ac:dyDescent="0.25">
      <c r="B37" s="2" t="s">
        <v>329</v>
      </c>
      <c r="C37" s="6" t="s">
        <v>358</v>
      </c>
      <c r="D37" s="1"/>
      <c r="E37" s="1"/>
      <c r="F37" s="1"/>
      <c r="H37" s="9">
        <v>-11646.4</v>
      </c>
      <c r="I37" s="9">
        <v>0</v>
      </c>
      <c r="J37" s="8">
        <f>H37+I37</f>
        <v>-11646.4</v>
      </c>
      <c r="L37" s="1"/>
      <c r="M37" s="1"/>
      <c r="N37" s="1"/>
      <c r="X37" s="8">
        <f t="shared" si="11"/>
        <v>-11646.4</v>
      </c>
      <c r="Y37" s="8">
        <f t="shared" si="11"/>
        <v>0</v>
      </c>
      <c r="Z37" s="8">
        <f t="shared" si="12"/>
        <v>-11646.4</v>
      </c>
    </row>
    <row r="38" spans="2:26" x14ac:dyDescent="0.25">
      <c r="B38" s="2" t="s">
        <v>249</v>
      </c>
      <c r="C38" s="6" t="s">
        <v>373</v>
      </c>
      <c r="H38" s="1"/>
      <c r="I38" s="1"/>
      <c r="J38" s="1"/>
      <c r="L38" s="9">
        <f>-(100000-90623)</f>
        <v>-9377</v>
      </c>
      <c r="M38" s="9">
        <v>0</v>
      </c>
      <c r="N38" s="8">
        <f>L38+M38</f>
        <v>-9377</v>
      </c>
      <c r="P38" s="9">
        <v>-90623</v>
      </c>
      <c r="Q38" s="9">
        <v>0</v>
      </c>
      <c r="R38" s="8">
        <f>P38+Q38</f>
        <v>-90623</v>
      </c>
      <c r="X38" s="8">
        <f t="shared" si="11"/>
        <v>-100000</v>
      </c>
      <c r="Y38" s="8">
        <f t="shared" si="11"/>
        <v>0</v>
      </c>
      <c r="Z38" s="8">
        <f t="shared" si="12"/>
        <v>-100000</v>
      </c>
    </row>
    <row r="39" spans="2:26" x14ac:dyDescent="0.25">
      <c r="B39" s="2" t="s">
        <v>276</v>
      </c>
      <c r="C39" s="6" t="s">
        <v>363</v>
      </c>
      <c r="H39" s="1"/>
      <c r="I39" s="1"/>
      <c r="J39" s="1"/>
      <c r="L39" s="1"/>
      <c r="M39" s="1"/>
      <c r="N39" s="1"/>
      <c r="P39" s="9">
        <v>-109590</v>
      </c>
      <c r="Q39" s="9">
        <v>0</v>
      </c>
      <c r="R39" s="8">
        <f>P39+Q39</f>
        <v>-109590</v>
      </c>
      <c r="X39" s="8">
        <f t="shared" si="11"/>
        <v>-109590</v>
      </c>
      <c r="Y39" s="8">
        <f t="shared" si="11"/>
        <v>0</v>
      </c>
      <c r="Z39" s="8">
        <f t="shared" si="12"/>
        <v>-109590</v>
      </c>
    </row>
    <row r="40" spans="2:26" x14ac:dyDescent="0.25">
      <c r="B40" s="2" t="s">
        <v>300</v>
      </c>
      <c r="C40" s="6" t="s">
        <v>364</v>
      </c>
      <c r="D40" s="1"/>
      <c r="E40" s="1"/>
      <c r="F40" s="1"/>
      <c r="H40" s="1"/>
      <c r="I40" s="1"/>
      <c r="J40" s="1"/>
      <c r="L40" s="1"/>
      <c r="M40" s="1"/>
      <c r="N40" s="1"/>
      <c r="P40" s="9">
        <v>-30563.83</v>
      </c>
      <c r="Q40" s="9">
        <v>0</v>
      </c>
      <c r="R40" s="8">
        <f>P40+Q40</f>
        <v>-30563.83</v>
      </c>
      <c r="X40" s="8">
        <f t="shared" si="11"/>
        <v>-30563.83</v>
      </c>
      <c r="Y40" s="8">
        <f t="shared" si="11"/>
        <v>0</v>
      </c>
      <c r="Z40" s="8">
        <f t="shared" si="12"/>
        <v>-30563.83</v>
      </c>
    </row>
    <row r="41" spans="2:26" x14ac:dyDescent="0.25">
      <c r="B41" s="2" t="s">
        <v>303</v>
      </c>
      <c r="C41" s="6" t="s">
        <v>374</v>
      </c>
      <c r="D41" s="9">
        <v>-34011.07</v>
      </c>
      <c r="E41" s="9">
        <v>0</v>
      </c>
      <c r="F41" s="9">
        <f>D41+E41</f>
        <v>-34011.07</v>
      </c>
      <c r="L41" s="1"/>
      <c r="M41" s="1"/>
      <c r="N41" s="1"/>
      <c r="X41" s="8">
        <f t="shared" si="11"/>
        <v>-34011.07</v>
      </c>
      <c r="Y41" s="8">
        <f t="shared" si="11"/>
        <v>0</v>
      </c>
      <c r="Z41" s="8">
        <f t="shared" si="12"/>
        <v>-34011.07</v>
      </c>
    </row>
    <row r="42" spans="2:26" ht="15.75" thickBot="1" x14ac:dyDescent="0.3">
      <c r="B42" s="2" t="s">
        <v>275</v>
      </c>
      <c r="C42" s="6" t="s">
        <v>375</v>
      </c>
      <c r="H42" s="1"/>
      <c r="I42" s="1"/>
      <c r="J42" s="1"/>
      <c r="P42" s="14">
        <v>-12606.5</v>
      </c>
      <c r="Q42" s="14">
        <v>0</v>
      </c>
      <c r="R42" s="15">
        <f>P42+Q42</f>
        <v>-12606.5</v>
      </c>
      <c r="X42" s="15">
        <f t="shared" si="11"/>
        <v>-12606.5</v>
      </c>
      <c r="Y42" s="15">
        <f t="shared" si="11"/>
        <v>0</v>
      </c>
      <c r="Z42" s="15">
        <f t="shared" si="12"/>
        <v>-12606.5</v>
      </c>
    </row>
    <row r="43" spans="2:26" x14ac:dyDescent="0.25">
      <c r="B43" s="2" t="s">
        <v>31</v>
      </c>
      <c r="C43" s="2"/>
      <c r="D43" s="26">
        <f>SUM(D33:D42)</f>
        <v>-34011.07</v>
      </c>
      <c r="E43" s="26">
        <f>SUM(E33:E42)</f>
        <v>0</v>
      </c>
      <c r="F43" s="26">
        <f>D43+E43</f>
        <v>-34011.07</v>
      </c>
      <c r="H43" s="26">
        <f>SUM(H33:H42)</f>
        <v>-15506.15</v>
      </c>
      <c r="I43" s="26">
        <f>SUM(I33:I42)</f>
        <v>0</v>
      </c>
      <c r="J43" s="26">
        <f>H43+I43</f>
        <v>-15506.15</v>
      </c>
      <c r="L43" s="26">
        <f>SUM(L33:L42)</f>
        <v>-99377</v>
      </c>
      <c r="M43" s="26">
        <f>SUM(M33:M42)</f>
        <v>0</v>
      </c>
      <c r="N43" s="26">
        <f>L43+M43</f>
        <v>-99377</v>
      </c>
      <c r="P43" s="26">
        <f>SUM(P33:P42)</f>
        <v>-640574.55999999994</v>
      </c>
      <c r="Q43" s="26">
        <f>SUM(Q33:Q42)</f>
        <v>0</v>
      </c>
      <c r="R43" s="26">
        <f>P43+Q43</f>
        <v>-640574.55999999994</v>
      </c>
      <c r="S43" s="1"/>
      <c r="T43" s="26">
        <f>SUM(T33:T42)</f>
        <v>-2969.5</v>
      </c>
      <c r="U43" s="26">
        <f>SUM(U33:U42)</f>
        <v>0</v>
      </c>
      <c r="V43" s="26">
        <f>T43+U43</f>
        <v>-2969.5</v>
      </c>
      <c r="X43" s="26">
        <f>SUM(X33:X42)</f>
        <v>-792438.27999999991</v>
      </c>
      <c r="Y43" s="26">
        <f>SUM(Y33:Y42)</f>
        <v>0</v>
      </c>
      <c r="Z43" s="26">
        <f t="shared" si="12"/>
        <v>-792438.27999999991</v>
      </c>
    </row>
    <row r="44" spans="2:26" x14ac:dyDescent="0.25">
      <c r="D44" s="1"/>
      <c r="E44" s="1"/>
      <c r="F44" s="1"/>
      <c r="I44" s="1"/>
      <c r="J44" s="1"/>
      <c r="L44" s="1"/>
      <c r="M44" s="1"/>
      <c r="N44" s="1"/>
      <c r="P44" s="1"/>
      <c r="Q44" s="1"/>
      <c r="R44" s="1"/>
      <c r="U44" s="1"/>
      <c r="V44" s="1"/>
      <c r="X44" s="1"/>
    </row>
    <row r="45" spans="2:26" x14ac:dyDescent="0.25">
      <c r="B45" s="5" t="s">
        <v>10</v>
      </c>
      <c r="C45" s="5"/>
      <c r="D45" s="1"/>
      <c r="E45" s="1"/>
      <c r="F45" s="1"/>
      <c r="L45" s="1"/>
      <c r="M45" s="1"/>
      <c r="N45" s="1"/>
    </row>
    <row r="46" spans="2:26" x14ac:dyDescent="0.25">
      <c r="B46" s="2" t="s">
        <v>169</v>
      </c>
      <c r="C46" s="2"/>
      <c r="T46" s="9">
        <v>0</v>
      </c>
      <c r="U46" s="8">
        <f>-T46</f>
        <v>0</v>
      </c>
      <c r="V46" s="8">
        <f>T46+U46</f>
        <v>0</v>
      </c>
      <c r="X46" s="8">
        <f t="shared" ref="X46:Y48" si="13">D46+H46+L46+P46+T46</f>
        <v>0</v>
      </c>
      <c r="Y46" s="8">
        <f t="shared" si="13"/>
        <v>0</v>
      </c>
      <c r="Z46" s="8">
        <f>X46+Y46</f>
        <v>0</v>
      </c>
    </row>
    <row r="47" spans="2:26" x14ac:dyDescent="0.25">
      <c r="B47" s="2" t="s">
        <v>52</v>
      </c>
      <c r="C47" s="2"/>
      <c r="P47" s="9">
        <v>0</v>
      </c>
      <c r="Q47" s="8">
        <f>-T47</f>
        <v>4530.5</v>
      </c>
      <c r="R47" s="8">
        <f>P47+Q47</f>
        <v>4530.5</v>
      </c>
      <c r="T47" s="9">
        <v>-4530.5</v>
      </c>
      <c r="U47" s="8">
        <v>0</v>
      </c>
      <c r="V47" s="8">
        <f>T47+U47</f>
        <v>-4530.5</v>
      </c>
      <c r="X47" s="8">
        <f t="shared" si="13"/>
        <v>-4530.5</v>
      </c>
      <c r="Y47" s="8">
        <f t="shared" si="13"/>
        <v>4530.5</v>
      </c>
      <c r="Z47" s="8">
        <f>X47+Y47</f>
        <v>0</v>
      </c>
    </row>
    <row r="48" spans="2:26" ht="15.75" thickBot="1" x14ac:dyDescent="0.3">
      <c r="B48" s="2" t="s">
        <v>303</v>
      </c>
      <c r="C48" s="6" t="s">
        <v>374</v>
      </c>
      <c r="D48" s="9">
        <v>-13606.93</v>
      </c>
      <c r="E48" s="8">
        <f>-D48</f>
        <v>13606.93</v>
      </c>
      <c r="F48" s="8">
        <f>D48+E48</f>
        <v>0</v>
      </c>
      <c r="X48" s="8">
        <f t="shared" si="13"/>
        <v>-13606.93</v>
      </c>
      <c r="Y48" s="8">
        <f t="shared" si="13"/>
        <v>13606.93</v>
      </c>
      <c r="Z48" s="8">
        <f>X48+Y48</f>
        <v>0</v>
      </c>
    </row>
    <row r="49" spans="1:28" x14ac:dyDescent="0.25">
      <c r="B49" s="2" t="s">
        <v>39</v>
      </c>
      <c r="C49" s="2"/>
      <c r="D49" s="26">
        <f>SUM(D46:D48)</f>
        <v>-13606.93</v>
      </c>
      <c r="E49" s="26">
        <f>SUM(E46:E48)</f>
        <v>13606.93</v>
      </c>
      <c r="F49" s="26">
        <f>D49+E49</f>
        <v>0</v>
      </c>
      <c r="H49" s="26">
        <f>SUM(H46:H46)</f>
        <v>0</v>
      </c>
      <c r="I49" s="26">
        <f>SUM(I46:I46)</f>
        <v>0</v>
      </c>
      <c r="J49" s="26">
        <f>H49+I49</f>
        <v>0</v>
      </c>
      <c r="L49" s="26">
        <f>SUM(L46:L46)</f>
        <v>0</v>
      </c>
      <c r="M49" s="26">
        <f>SUM(M46:M46)</f>
        <v>0</v>
      </c>
      <c r="N49" s="26">
        <f>L49+M49</f>
        <v>0</v>
      </c>
      <c r="P49" s="26">
        <f>SUM(P46:P46)</f>
        <v>0</v>
      </c>
      <c r="Q49" s="26">
        <f>SUM(Q46:Q48)</f>
        <v>4530.5</v>
      </c>
      <c r="R49" s="26">
        <f>P49+Q49</f>
        <v>4530.5</v>
      </c>
      <c r="S49" s="1"/>
      <c r="T49" s="26">
        <f>SUM(T46:T48)</f>
        <v>-4530.5</v>
      </c>
      <c r="U49" s="26">
        <f>SUM(U46:U48)</f>
        <v>0</v>
      </c>
      <c r="V49" s="26">
        <f>T49+U49</f>
        <v>-4530.5</v>
      </c>
      <c r="X49" s="26">
        <f>SUM(X46:X48)</f>
        <v>-18137.43</v>
      </c>
      <c r="Y49" s="26">
        <f>SUM(Y46:Y48)</f>
        <v>18137.43</v>
      </c>
      <c r="Z49" s="26">
        <f>X49+Y49</f>
        <v>0</v>
      </c>
    </row>
    <row r="50" spans="1:28" x14ac:dyDescent="0.25">
      <c r="L50" s="1"/>
      <c r="M50" s="1"/>
      <c r="N50" s="1"/>
      <c r="P50" s="1"/>
      <c r="Q50" s="1"/>
      <c r="R50" s="1"/>
    </row>
    <row r="51" spans="1:28" x14ac:dyDescent="0.25">
      <c r="B51" s="2" t="s">
        <v>229</v>
      </c>
      <c r="C51" s="2"/>
      <c r="D51" s="8">
        <f>D7+D15+D26+D30+D43+D49</f>
        <v>0</v>
      </c>
      <c r="E51" s="8">
        <f>E7+E15+E26+E30+E43+E49</f>
        <v>326140.20999999996</v>
      </c>
      <c r="F51" s="8">
        <f>D51+E51</f>
        <v>326140.20999999996</v>
      </c>
      <c r="H51" s="8">
        <f>H7+H15+H26+H30+H43+H49</f>
        <v>11353.6</v>
      </c>
      <c r="I51" s="8">
        <f>I7+I15+I26+I30+I43+I49</f>
        <v>225457.39</v>
      </c>
      <c r="J51" s="8">
        <f>H51+I51</f>
        <v>236810.99000000002</v>
      </c>
      <c r="L51" s="8">
        <f>L7+L15+L26+L30+L43+L49</f>
        <v>0</v>
      </c>
      <c r="M51" s="8">
        <f>M7+M15+M26+M30+M43+M49</f>
        <v>22043.319999999992</v>
      </c>
      <c r="N51" s="8">
        <f>L51+M51</f>
        <v>22043.319999999992</v>
      </c>
      <c r="P51" s="8">
        <f>P7+P15+P26+P30+P43+P49</f>
        <v>78829.670000000042</v>
      </c>
      <c r="Q51" s="8">
        <f>Q7+Q15+Q26+Q30+Q43+Q49</f>
        <v>445552.75</v>
      </c>
      <c r="R51" s="8">
        <f>P51+Q51</f>
        <v>524382.42000000004</v>
      </c>
      <c r="T51" s="8">
        <f>T7+T15+T26+T43+T49</f>
        <v>0</v>
      </c>
      <c r="U51" s="8">
        <f>U7+U15+U26+U43+U49</f>
        <v>0</v>
      </c>
      <c r="V51" s="8">
        <f>T51+U51</f>
        <v>0</v>
      </c>
      <c r="X51" s="8">
        <f>D51+H51+L51+P51+T51</f>
        <v>90183.270000000048</v>
      </c>
      <c r="Y51" s="8">
        <f>E51+I51+M51+Q51+U51</f>
        <v>1019193.6699999999</v>
      </c>
      <c r="Z51" s="8">
        <f>X51+Y51</f>
        <v>1109376.94</v>
      </c>
    </row>
    <row r="52" spans="1:28" x14ac:dyDescent="0.25">
      <c r="L52" s="1"/>
      <c r="M52" s="1"/>
      <c r="N52" s="1"/>
      <c r="P52" s="1"/>
      <c r="Q52" s="1"/>
      <c r="R52" s="1"/>
    </row>
    <row r="53" spans="1:28" x14ac:dyDescent="0.25">
      <c r="B53" s="5" t="s">
        <v>230</v>
      </c>
      <c r="C53" s="5"/>
      <c r="L53" s="1"/>
      <c r="M53" s="1"/>
      <c r="N53" s="1"/>
      <c r="P53" s="1"/>
    </row>
    <row r="54" spans="1:28" ht="15.75" thickBot="1" x14ac:dyDescent="0.3">
      <c r="B54" s="2" t="s">
        <v>244</v>
      </c>
      <c r="C54" s="2"/>
      <c r="D54" s="14">
        <v>0</v>
      </c>
      <c r="E54" s="14">
        <v>0</v>
      </c>
      <c r="F54" s="8">
        <f>D54+E54</f>
        <v>0</v>
      </c>
      <c r="H54" s="14">
        <v>0</v>
      </c>
      <c r="I54" s="14">
        <v>0</v>
      </c>
      <c r="J54" s="12">
        <f>H54+I54</f>
        <v>0</v>
      </c>
      <c r="L54" s="14">
        <v>0</v>
      </c>
      <c r="M54" s="14">
        <v>0</v>
      </c>
      <c r="N54" s="8">
        <f>L54+M54</f>
        <v>0</v>
      </c>
      <c r="P54" s="14">
        <v>0</v>
      </c>
      <c r="Q54" s="14">
        <v>0</v>
      </c>
      <c r="R54" s="8">
        <f>P54+Q54</f>
        <v>0</v>
      </c>
      <c r="T54" s="14">
        <v>0</v>
      </c>
      <c r="U54" s="14">
        <v>0</v>
      </c>
      <c r="V54" s="8">
        <f>T54+U54</f>
        <v>0</v>
      </c>
      <c r="X54" s="8">
        <f>D54+H54+L54+P54+T54</f>
        <v>0</v>
      </c>
      <c r="Y54" s="8">
        <f>E54+I54+M54+Q54+U54</f>
        <v>0</v>
      </c>
      <c r="Z54" s="8">
        <f>X54+Y54</f>
        <v>0</v>
      </c>
    </row>
    <row r="55" spans="1:28" x14ac:dyDescent="0.25">
      <c r="B55" s="2" t="s">
        <v>231</v>
      </c>
      <c r="C55" s="2"/>
      <c r="D55" s="26">
        <f>SUM(D54:D54)</f>
        <v>0</v>
      </c>
      <c r="E55" s="26">
        <f>SUM(E54:E54)</f>
        <v>0</v>
      </c>
      <c r="F55" s="26">
        <f>D55+E55</f>
        <v>0</v>
      </c>
      <c r="H55" s="26">
        <f>SUM(H54:H54)</f>
        <v>0</v>
      </c>
      <c r="I55" s="26">
        <f>SUM(I54:I54)</f>
        <v>0</v>
      </c>
      <c r="J55" s="26">
        <f>H55+I55</f>
        <v>0</v>
      </c>
      <c r="L55" s="26">
        <f>SUM(L54:L54)</f>
        <v>0</v>
      </c>
      <c r="M55" s="26">
        <f>SUM(M54:M54)</f>
        <v>0</v>
      </c>
      <c r="N55" s="26">
        <f>L55+M55</f>
        <v>0</v>
      </c>
      <c r="P55" s="26">
        <f>SUM(P54:P54)</f>
        <v>0</v>
      </c>
      <c r="Q55" s="26">
        <f>SUM(Q54:Q54)</f>
        <v>0</v>
      </c>
      <c r="R55" s="26">
        <f>P55+Q55</f>
        <v>0</v>
      </c>
      <c r="S55" s="1"/>
      <c r="T55" s="26">
        <f>SUM(T54:T54)</f>
        <v>0</v>
      </c>
      <c r="U55" s="26">
        <f>SUM(U54:U54)</f>
        <v>0</v>
      </c>
      <c r="V55" s="26">
        <f>T55+U55</f>
        <v>0</v>
      </c>
      <c r="X55" s="26">
        <f>D55+H55+L55+P55+T55</f>
        <v>0</v>
      </c>
      <c r="Y55" s="26">
        <f>E55+I55+M55+Q55+U55</f>
        <v>0</v>
      </c>
      <c r="Z55" s="26">
        <f>X55+Y55</f>
        <v>0</v>
      </c>
    </row>
    <row r="56" spans="1:28" x14ac:dyDescent="0.25">
      <c r="B56" s="2"/>
      <c r="C56" s="2"/>
    </row>
    <row r="57" spans="1:28" ht="15.75" thickBot="1" x14ac:dyDescent="0.3">
      <c r="B57" s="2" t="s">
        <v>232</v>
      </c>
      <c r="C57" s="2"/>
      <c r="D57" s="17">
        <f>ROUND(D51+D55,2)</f>
        <v>0</v>
      </c>
      <c r="E57" s="17">
        <f>ROUND(E51+E55,2)</f>
        <v>326140.21000000002</v>
      </c>
      <c r="F57" s="17">
        <f>D57+E57</f>
        <v>326140.21000000002</v>
      </c>
      <c r="H57" s="17">
        <f>ROUND(H51+H55,2)</f>
        <v>11353.6</v>
      </c>
      <c r="I57" s="17">
        <f>ROUND(I51+I55,2)</f>
        <v>225457.39</v>
      </c>
      <c r="J57" s="17">
        <f>H57+I57</f>
        <v>236810.99000000002</v>
      </c>
      <c r="L57" s="17">
        <f>ROUND(L51+L55,2)</f>
        <v>0</v>
      </c>
      <c r="M57" s="17">
        <f>ROUND(M51+M55,2)</f>
        <v>22043.32</v>
      </c>
      <c r="N57" s="17">
        <f>L57+M57</f>
        <v>22043.32</v>
      </c>
      <c r="P57" s="17">
        <f>ROUND(P51+P55,2)</f>
        <v>78829.67</v>
      </c>
      <c r="Q57" s="17">
        <f>ROUND(Q51+Q55,2)</f>
        <v>445552.75</v>
      </c>
      <c r="R57" s="17">
        <f>P57+Q57</f>
        <v>524382.42000000004</v>
      </c>
      <c r="T57" s="17">
        <f>ROUND(T51+T55,2)</f>
        <v>0</v>
      </c>
      <c r="U57" s="17">
        <f>ROUND(U51+U55,2)</f>
        <v>0</v>
      </c>
      <c r="V57" s="17">
        <f>T57+U57</f>
        <v>0</v>
      </c>
      <c r="X57" s="17">
        <f>D57+H57+L57+P57+T57</f>
        <v>90183.27</v>
      </c>
      <c r="Y57" s="17">
        <f>E57+I57+M57+Q57+U57</f>
        <v>1019193.67</v>
      </c>
      <c r="Z57" s="17">
        <f>X57+Y57</f>
        <v>1109376.94</v>
      </c>
      <c r="AB57" s="1">
        <f>Z57-1109358.94</f>
        <v>18</v>
      </c>
    </row>
    <row r="58" spans="1:28" ht="15.75" thickTop="1" x14ac:dyDescent="0.25">
      <c r="B58" s="2"/>
      <c r="C58" s="2"/>
      <c r="Q58" s="1"/>
    </row>
    <row r="59" spans="1:28" x14ac:dyDescent="0.25">
      <c r="B59" s="2"/>
      <c r="C59" s="2"/>
    </row>
    <row r="60" spans="1:28" x14ac:dyDescent="0.25">
      <c r="A60" s="35" t="s">
        <v>54</v>
      </c>
      <c r="B60" s="35"/>
      <c r="C60" s="19"/>
    </row>
    <row r="62" spans="1:28" x14ac:dyDescent="0.25">
      <c r="B62" s="5" t="s">
        <v>233</v>
      </c>
      <c r="C62" s="5"/>
      <c r="T62" s="1"/>
    </row>
    <row r="63" spans="1:28" x14ac:dyDescent="0.25">
      <c r="B63" s="2" t="s">
        <v>729</v>
      </c>
      <c r="C63" s="2"/>
      <c r="D63" s="9">
        <v>0</v>
      </c>
      <c r="E63" s="9">
        <f>550000/10</f>
        <v>55000</v>
      </c>
      <c r="F63" s="8">
        <f>D63+E63</f>
        <v>55000</v>
      </c>
      <c r="H63" s="9">
        <v>0</v>
      </c>
      <c r="I63" s="9">
        <f>550000/10</f>
        <v>55000</v>
      </c>
      <c r="J63" s="8">
        <f>H63+I63</f>
        <v>55000</v>
      </c>
      <c r="L63" s="9">
        <v>0</v>
      </c>
      <c r="M63" s="9">
        <f>550000/10</f>
        <v>55000</v>
      </c>
      <c r="N63" s="8">
        <f>L63+M63</f>
        <v>55000</v>
      </c>
      <c r="P63" s="9">
        <v>0</v>
      </c>
      <c r="Q63" s="9">
        <f>550000-E63-I63-M63</f>
        <v>385000</v>
      </c>
      <c r="R63" s="8">
        <f>P63+Q63</f>
        <v>385000</v>
      </c>
      <c r="T63" s="1"/>
      <c r="U63" s="1"/>
      <c r="V63" s="1"/>
      <c r="X63" s="8">
        <f t="shared" ref="X63:Z66" si="14">D63+H63+L63+P63+T63</f>
        <v>0</v>
      </c>
      <c r="Y63" s="8">
        <f t="shared" si="14"/>
        <v>550000</v>
      </c>
      <c r="Z63" s="8">
        <f t="shared" si="14"/>
        <v>550000</v>
      </c>
    </row>
    <row r="64" spans="1:28" x14ac:dyDescent="0.25">
      <c r="B64" s="2" t="s">
        <v>255</v>
      </c>
      <c r="C64" s="2"/>
      <c r="D64" s="9">
        <v>0</v>
      </c>
      <c r="E64" s="9">
        <f>55000*0.23</f>
        <v>12650</v>
      </c>
      <c r="F64" s="8">
        <f>D64+E64</f>
        <v>12650</v>
      </c>
      <c r="H64" s="9">
        <v>0</v>
      </c>
      <c r="I64" s="9">
        <f>55000*0.23</f>
        <v>12650</v>
      </c>
      <c r="J64" s="8">
        <f>H64+I64</f>
        <v>12650</v>
      </c>
      <c r="L64" s="9">
        <v>0</v>
      </c>
      <c r="M64" s="9">
        <f>55000*0.23</f>
        <v>12650</v>
      </c>
      <c r="N64" s="8">
        <f>L64+M64</f>
        <v>12650</v>
      </c>
      <c r="P64" s="9">
        <v>0</v>
      </c>
      <c r="Q64" s="9">
        <f>550000*0.23-E64-I64-M64</f>
        <v>88550</v>
      </c>
      <c r="R64" s="8">
        <f>P64+Q64</f>
        <v>88550</v>
      </c>
      <c r="X64" s="8">
        <f t="shared" si="14"/>
        <v>0</v>
      </c>
      <c r="Y64" s="8">
        <f t="shared" si="14"/>
        <v>126500</v>
      </c>
      <c r="Z64" s="8">
        <f t="shared" si="14"/>
        <v>126500</v>
      </c>
    </row>
    <row r="65" spans="2:26" ht="15.75" thickBot="1" x14ac:dyDescent="0.3">
      <c r="B65" s="2" t="s">
        <v>234</v>
      </c>
      <c r="C65" s="2"/>
      <c r="D65" s="14">
        <v>0</v>
      </c>
      <c r="E65" s="14">
        <f>1000/10</f>
        <v>100</v>
      </c>
      <c r="F65" s="15">
        <f>D65+E65</f>
        <v>100</v>
      </c>
      <c r="H65" s="14">
        <v>0</v>
      </c>
      <c r="I65" s="14">
        <f>1000/10</f>
        <v>100</v>
      </c>
      <c r="J65" s="15">
        <f>H65+I65</f>
        <v>100</v>
      </c>
      <c r="L65" s="14">
        <v>0</v>
      </c>
      <c r="M65" s="14">
        <f>1000/10</f>
        <v>100</v>
      </c>
      <c r="N65" s="15">
        <f>L65+M65</f>
        <v>100</v>
      </c>
      <c r="P65" s="14">
        <v>0</v>
      </c>
      <c r="Q65" s="14">
        <f>1000-E65-I65-M65</f>
        <v>700</v>
      </c>
      <c r="R65" s="15">
        <f>P65+Q65</f>
        <v>700</v>
      </c>
      <c r="X65" s="15">
        <f t="shared" si="14"/>
        <v>0</v>
      </c>
      <c r="Y65" s="15">
        <f t="shared" si="14"/>
        <v>1000</v>
      </c>
      <c r="Z65" s="15">
        <f t="shared" si="14"/>
        <v>1000</v>
      </c>
    </row>
    <row r="66" spans="2:26" x14ac:dyDescent="0.25">
      <c r="B66" s="2" t="s">
        <v>235</v>
      </c>
      <c r="C66" s="2"/>
      <c r="D66" s="26">
        <f>SUM(D63:D65)</f>
        <v>0</v>
      </c>
      <c r="E66" s="26">
        <f>SUM(E63:E65)</f>
        <v>67750</v>
      </c>
      <c r="F66" s="26">
        <f>D66+E66</f>
        <v>67750</v>
      </c>
      <c r="H66" s="26">
        <f>SUM(H63:H65)</f>
        <v>0</v>
      </c>
      <c r="I66" s="26">
        <f>SUM(I63:I65)</f>
        <v>67750</v>
      </c>
      <c r="J66" s="26">
        <f>H66+I66</f>
        <v>67750</v>
      </c>
      <c r="L66" s="26">
        <f>SUM(L63:L65)</f>
        <v>0</v>
      </c>
      <c r="M66" s="26">
        <f>SUM(M63:M65)</f>
        <v>67750</v>
      </c>
      <c r="N66" s="26">
        <f>L66+M66</f>
        <v>67750</v>
      </c>
      <c r="P66" s="26">
        <f>SUM(P63:P65)</f>
        <v>0</v>
      </c>
      <c r="Q66" s="26">
        <f>SUM(Q63:Q65)</f>
        <v>474250</v>
      </c>
      <c r="R66" s="26">
        <f>P66+Q66</f>
        <v>474250</v>
      </c>
      <c r="S66" s="1"/>
      <c r="T66" s="26">
        <f>SUM(T63:T65)</f>
        <v>0</v>
      </c>
      <c r="U66" s="26">
        <f>SUM(U63:U65)</f>
        <v>0</v>
      </c>
      <c r="V66" s="26">
        <f>T66+U66</f>
        <v>0</v>
      </c>
      <c r="X66" s="26">
        <f t="shared" si="14"/>
        <v>0</v>
      </c>
      <c r="Y66" s="26">
        <f t="shared" si="14"/>
        <v>677500</v>
      </c>
      <c r="Z66" s="26">
        <f t="shared" si="14"/>
        <v>677500</v>
      </c>
    </row>
    <row r="67" spans="2:26" x14ac:dyDescent="0.25">
      <c r="B67" s="2"/>
      <c r="C67" s="2"/>
    </row>
    <row r="68" spans="2:26" x14ac:dyDescent="0.25">
      <c r="B68" s="5" t="s">
        <v>236</v>
      </c>
      <c r="C68" s="5"/>
      <c r="T68" s="1"/>
    </row>
    <row r="69" spans="2:26" x14ac:dyDescent="0.25">
      <c r="B69" s="2" t="s">
        <v>86</v>
      </c>
      <c r="C69" s="2"/>
      <c r="H69" s="1"/>
      <c r="I69" s="1"/>
      <c r="J69" s="1"/>
      <c r="L69" s="1"/>
      <c r="M69" s="1"/>
      <c r="P69" s="9">
        <v>0</v>
      </c>
      <c r="Q69" s="8">
        <f>-T69</f>
        <v>-7500</v>
      </c>
      <c r="R69" s="8">
        <f>P69+Q69</f>
        <v>-7500</v>
      </c>
      <c r="T69" s="9">
        <f>2500+5000</f>
        <v>7500</v>
      </c>
      <c r="U69" s="9">
        <v>0</v>
      </c>
      <c r="V69" s="8">
        <f>T69+U69</f>
        <v>7500</v>
      </c>
      <c r="X69" s="8">
        <f t="shared" ref="X69:Z71" si="15">D69+H69+L69+P69+T69</f>
        <v>7500</v>
      </c>
      <c r="Y69" s="8">
        <f t="shared" si="15"/>
        <v>-7500</v>
      </c>
      <c r="Z69" s="8">
        <f t="shared" si="15"/>
        <v>0</v>
      </c>
    </row>
    <row r="70" spans="2:26" ht="15.75" thickBot="1" x14ac:dyDescent="0.3">
      <c r="B70" s="2" t="s">
        <v>240</v>
      </c>
      <c r="C70" s="6" t="s">
        <v>17</v>
      </c>
      <c r="L70" s="14">
        <v>67000</v>
      </c>
      <c r="M70" s="15">
        <f>-L70</f>
        <v>-67000</v>
      </c>
      <c r="N70" s="15">
        <f>L70+M70</f>
        <v>0</v>
      </c>
      <c r="P70" s="14">
        <f>482850-67000</f>
        <v>415850</v>
      </c>
      <c r="Q70" s="15">
        <f>-P70</f>
        <v>-415850</v>
      </c>
      <c r="R70" s="15">
        <f>P70+Q70</f>
        <v>0</v>
      </c>
      <c r="X70" s="15">
        <f t="shared" si="15"/>
        <v>482850</v>
      </c>
      <c r="Y70" s="15">
        <f t="shared" si="15"/>
        <v>-482850</v>
      </c>
      <c r="Z70" s="15">
        <f t="shared" si="15"/>
        <v>0</v>
      </c>
    </row>
    <row r="71" spans="2:26" x14ac:dyDescent="0.25">
      <c r="B71" s="2" t="s">
        <v>237</v>
      </c>
      <c r="C71" s="2"/>
      <c r="D71" s="26">
        <f>SUM(D69:D70)</f>
        <v>0</v>
      </c>
      <c r="E71" s="26">
        <f>SUM(E69:E70)</f>
        <v>0</v>
      </c>
      <c r="F71" s="26">
        <f>D71+E71</f>
        <v>0</v>
      </c>
      <c r="H71" s="26">
        <f>SUM(H69:H70)</f>
        <v>0</v>
      </c>
      <c r="I71" s="26">
        <f>SUM(I69:I70)</f>
        <v>0</v>
      </c>
      <c r="J71" s="26">
        <f>H71+I71</f>
        <v>0</v>
      </c>
      <c r="L71" s="26">
        <f>SUM(L69:L70)</f>
        <v>67000</v>
      </c>
      <c r="M71" s="26">
        <f>SUM(M69:M70)</f>
        <v>-67000</v>
      </c>
      <c r="N71" s="26">
        <f>L71+M71</f>
        <v>0</v>
      </c>
      <c r="P71" s="26">
        <f>SUM(P69:P70)</f>
        <v>415850</v>
      </c>
      <c r="Q71" s="26">
        <f>SUM(Q69:Q70)</f>
        <v>-423350</v>
      </c>
      <c r="R71" s="26">
        <f>P71+Q71</f>
        <v>-7500</v>
      </c>
      <c r="S71" s="1"/>
      <c r="T71" s="26">
        <f>SUM(T69:T70)</f>
        <v>7500</v>
      </c>
      <c r="U71" s="26">
        <f>SUM(U69:U70)</f>
        <v>0</v>
      </c>
      <c r="V71" s="26">
        <f>T71+U71</f>
        <v>7500</v>
      </c>
      <c r="X71" s="26">
        <f t="shared" si="15"/>
        <v>490350</v>
      </c>
      <c r="Y71" s="26">
        <f t="shared" si="15"/>
        <v>-490350</v>
      </c>
      <c r="Z71" s="26">
        <f t="shared" si="15"/>
        <v>0</v>
      </c>
    </row>
    <row r="72" spans="2:26" x14ac:dyDescent="0.25">
      <c r="B72" s="2"/>
      <c r="C72" s="2"/>
    </row>
    <row r="73" spans="2:26" x14ac:dyDescent="0.25">
      <c r="B73" s="2" t="s">
        <v>238</v>
      </c>
      <c r="C73" s="2"/>
      <c r="D73" s="8">
        <f>D66+D71</f>
        <v>0</v>
      </c>
      <c r="E73" s="8">
        <f>E66+E71</f>
        <v>67750</v>
      </c>
      <c r="F73" s="8">
        <f>D73+E73</f>
        <v>67750</v>
      </c>
      <c r="H73" s="8">
        <f>H66+H71</f>
        <v>0</v>
      </c>
      <c r="I73" s="8">
        <f>I66+I71</f>
        <v>67750</v>
      </c>
      <c r="J73" s="8">
        <f>H73+I73</f>
        <v>67750</v>
      </c>
      <c r="L73" s="8">
        <f>L66+L71</f>
        <v>67000</v>
      </c>
      <c r="M73" s="8">
        <f>M66+M71</f>
        <v>750</v>
      </c>
      <c r="N73" s="8">
        <f>L73+M73</f>
        <v>67750</v>
      </c>
      <c r="P73" s="8">
        <f>P66+P71</f>
        <v>415850</v>
      </c>
      <c r="Q73" s="8">
        <f>Q66+Q71</f>
        <v>50900</v>
      </c>
      <c r="R73" s="8">
        <f>P73+Q73</f>
        <v>466750</v>
      </c>
      <c r="T73" s="8">
        <f>T66+T71</f>
        <v>7500</v>
      </c>
      <c r="U73" s="8">
        <f>U66+U71</f>
        <v>0</v>
      </c>
      <c r="V73" s="8">
        <f>T73+U73</f>
        <v>7500</v>
      </c>
      <c r="X73" s="8">
        <f>D73+H73+L73+P73+T73</f>
        <v>490350</v>
      </c>
      <c r="Y73" s="8">
        <f>E73+I73+M73+Q73+U73</f>
        <v>187150</v>
      </c>
      <c r="Z73" s="8">
        <f>F73+J73+N73+R73+V73</f>
        <v>677500</v>
      </c>
    </row>
    <row r="74" spans="2:26" x14ac:dyDescent="0.25">
      <c r="B74" s="2"/>
      <c r="C74" s="2"/>
    </row>
    <row r="76" spans="2:26" x14ac:dyDescent="0.25">
      <c r="D76" t="s">
        <v>72</v>
      </c>
    </row>
    <row r="77" spans="2:26" x14ac:dyDescent="0.25">
      <c r="D77" s="2"/>
    </row>
    <row r="78" spans="2:26" x14ac:dyDescent="0.25">
      <c r="D78" s="2" t="s">
        <v>58</v>
      </c>
      <c r="E78" t="s">
        <v>239</v>
      </c>
    </row>
    <row r="82" spans="4:18" x14ac:dyDescent="0.25">
      <c r="D82" t="s">
        <v>250</v>
      </c>
    </row>
    <row r="84" spans="4:18" x14ac:dyDescent="0.25">
      <c r="D84" s="36" t="s">
        <v>3</v>
      </c>
      <c r="E84" s="36"/>
      <c r="F84" s="36"/>
      <c r="H84" s="36" t="s">
        <v>4</v>
      </c>
      <c r="I84" s="36"/>
      <c r="J84" s="36"/>
      <c r="L84" s="36" t="s">
        <v>2</v>
      </c>
      <c r="M84" s="36"/>
      <c r="N84" s="36"/>
      <c r="P84" s="36" t="s">
        <v>13</v>
      </c>
      <c r="Q84" s="36"/>
      <c r="R84" s="36"/>
    </row>
    <row r="85" spans="4:18" x14ac:dyDescent="0.25">
      <c r="D85" s="6"/>
      <c r="E85" s="6"/>
      <c r="F85" s="6"/>
      <c r="H85" s="6"/>
      <c r="I85" s="6"/>
      <c r="J85" s="6"/>
    </row>
    <row r="86" spans="4:18" x14ac:dyDescent="0.25">
      <c r="E86" s="6" t="s">
        <v>110</v>
      </c>
      <c r="F86" s="6" t="s">
        <v>111</v>
      </c>
      <c r="I86" s="6" t="s">
        <v>110</v>
      </c>
      <c r="J86" s="6" t="s">
        <v>111</v>
      </c>
      <c r="M86" s="6" t="s">
        <v>110</v>
      </c>
      <c r="N86" s="6" t="s">
        <v>111</v>
      </c>
      <c r="Q86" s="6" t="s">
        <v>110</v>
      </c>
      <c r="R86" s="6" t="s">
        <v>111</v>
      </c>
    </row>
    <row r="87" spans="4:18" x14ac:dyDescent="0.25">
      <c r="E87" s="6"/>
      <c r="F87" s="6"/>
    </row>
    <row r="88" spans="4:18" x14ac:dyDescent="0.25">
      <c r="E88" s="2" t="s">
        <v>480</v>
      </c>
      <c r="F88" s="11">
        <v>0</v>
      </c>
      <c r="I88" s="2" t="s">
        <v>138</v>
      </c>
      <c r="J88" s="9">
        <v>3859.75</v>
      </c>
      <c r="M88" s="2" t="s">
        <v>195</v>
      </c>
      <c r="N88" s="11">
        <v>31727</v>
      </c>
      <c r="Q88" s="2" t="s">
        <v>249</v>
      </c>
      <c r="R88" s="9">
        <v>90623</v>
      </c>
    </row>
    <row r="89" spans="4:18" x14ac:dyDescent="0.25">
      <c r="E89" s="2" t="s">
        <v>113</v>
      </c>
      <c r="F89" s="13">
        <f>SUM(F88:F88)</f>
        <v>0</v>
      </c>
      <c r="I89" s="2" t="s">
        <v>113</v>
      </c>
      <c r="J89" s="13">
        <f>J88</f>
        <v>3859.75</v>
      </c>
      <c r="M89" s="2" t="s">
        <v>113</v>
      </c>
      <c r="N89" s="13">
        <f>N88</f>
        <v>31727</v>
      </c>
      <c r="Q89" s="2" t="s">
        <v>138</v>
      </c>
      <c r="R89" s="9">
        <v>716.23</v>
      </c>
    </row>
    <row r="90" spans="4:18" x14ac:dyDescent="0.25">
      <c r="Q90" s="2" t="s">
        <v>276</v>
      </c>
      <c r="R90" s="9">
        <v>87015</v>
      </c>
    </row>
    <row r="91" spans="4:18" x14ac:dyDescent="0.25">
      <c r="Q91" s="2" t="s">
        <v>113</v>
      </c>
      <c r="R91" s="13">
        <f>SUM(R88:R90)</f>
        <v>178354.22999999998</v>
      </c>
    </row>
    <row r="92" spans="4:18" x14ac:dyDescent="0.25">
      <c r="D92" s="6" t="s">
        <v>118</v>
      </c>
      <c r="E92" s="1"/>
      <c r="H92" s="1"/>
    </row>
    <row r="93" spans="4:18" x14ac:dyDescent="0.25">
      <c r="D93" s="2" t="s">
        <v>58</v>
      </c>
      <c r="E93" t="s">
        <v>730</v>
      </c>
      <c r="R93" s="1"/>
    </row>
    <row r="94" spans="4:18" x14ac:dyDescent="0.25">
      <c r="D94" s="2" t="s">
        <v>60</v>
      </c>
      <c r="E94" t="s">
        <v>242</v>
      </c>
    </row>
    <row r="95" spans="4:18" x14ac:dyDescent="0.25">
      <c r="D95" s="2" t="s">
        <v>109</v>
      </c>
      <c r="E95" t="s">
        <v>241</v>
      </c>
    </row>
    <row r="96" spans="4:18" x14ac:dyDescent="0.25">
      <c r="D96" s="2"/>
    </row>
    <row r="97" spans="4:4" x14ac:dyDescent="0.25">
      <c r="D97" s="2"/>
    </row>
    <row r="98" spans="4:4" x14ac:dyDescent="0.25">
      <c r="D98" s="2"/>
    </row>
    <row r="99" spans="4:4" x14ac:dyDescent="0.25">
      <c r="D99" s="2"/>
    </row>
    <row r="100" spans="4:4" x14ac:dyDescent="0.25">
      <c r="D100" s="2"/>
    </row>
    <row r="101" spans="4:4" x14ac:dyDescent="0.25">
      <c r="D101" s="2"/>
    </row>
    <row r="102" spans="4:4" x14ac:dyDescent="0.25">
      <c r="D102" s="2"/>
    </row>
    <row r="103" spans="4:4" x14ac:dyDescent="0.25">
      <c r="D103" s="2"/>
    </row>
  </sheetData>
  <sortState xmlns:xlrd2="http://schemas.microsoft.com/office/spreadsheetml/2017/richdata2" ref="B34:AB41">
    <sortCondition ref="C34:C41"/>
  </sortState>
  <mergeCells count="11">
    <mergeCell ref="X4:Z4"/>
    <mergeCell ref="D4:F4"/>
    <mergeCell ref="H4:J4"/>
    <mergeCell ref="L4:N4"/>
    <mergeCell ref="P4:R4"/>
    <mergeCell ref="T4:V4"/>
    <mergeCell ref="A60:B60"/>
    <mergeCell ref="D84:F84"/>
    <mergeCell ref="H84:J84"/>
    <mergeCell ref="L84:N84"/>
    <mergeCell ref="P84:R84"/>
  </mergeCells>
  <printOptions horizontalCentered="1"/>
  <pageMargins left="0.25" right="0.25" top="0.75" bottom="0.75" header="0.3" footer="0.3"/>
  <pageSetup paperSize="5" scale="57" fitToHeight="0" orientation="landscape" r:id="rId1"/>
  <headerFooter>
    <oddFooter>&amp;L&amp;F&amp;CPage &amp;P of &amp;N&amp;R16 November 2015</oddFooter>
  </headerFooter>
  <rowBreaks count="1" manualBreakCount="1">
    <brk id="59"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Z103"/>
  <sheetViews>
    <sheetView workbookViewId="0">
      <pane xSplit="2" ySplit="6" topLeftCell="C42" activePane="bottomRight" state="frozen"/>
      <selection activeCell="C9" sqref="C9"/>
      <selection pane="topRight" activeCell="C9" sqref="C9"/>
      <selection pane="bottomLeft" activeCell="C9" sqref="C9"/>
      <selection pane="bottomRight" activeCell="A70" sqref="A70"/>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607</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180</v>
      </c>
      <c r="C7" s="2"/>
      <c r="D7" s="8">
        <f>ROUND('FY13'!D63,2)</f>
        <v>0</v>
      </c>
      <c r="E7" s="8">
        <f>ROUND('FY13'!E63,2)</f>
        <v>192088.77</v>
      </c>
      <c r="F7" s="8">
        <f>D7+E7</f>
        <v>192088.77</v>
      </c>
      <c r="H7" s="8">
        <f>ROUND('FY13'!H63,2)</f>
        <v>65144.77</v>
      </c>
      <c r="I7" s="8">
        <f>ROUND('FY13'!I63,2)</f>
        <v>66624.88</v>
      </c>
      <c r="J7" s="8">
        <f>H7+I7</f>
        <v>131769.65</v>
      </c>
      <c r="L7" s="8">
        <f>ROUND('FY13'!L63,2)</f>
        <v>0</v>
      </c>
      <c r="M7" s="8">
        <f>ROUND('FY13'!M63,2)</f>
        <v>5587.81</v>
      </c>
      <c r="N7" s="8">
        <f>L7+M7</f>
        <v>5587.81</v>
      </c>
      <c r="P7" s="8">
        <f>ROUND('FY13'!P63,2)</f>
        <v>437380.03</v>
      </c>
      <c r="Q7" s="8">
        <f>ROUND('FY13'!Q63,2)</f>
        <v>37414.699999999997</v>
      </c>
      <c r="R7" s="8">
        <f>P7+Q7</f>
        <v>474794.73000000004</v>
      </c>
      <c r="T7" s="8">
        <f>ROUND('FY13'!T63,2)</f>
        <v>0</v>
      </c>
      <c r="U7" s="8">
        <f>ROUND('FY13'!U63,2)</f>
        <v>0</v>
      </c>
      <c r="V7" s="8">
        <f>T7+U7</f>
        <v>0</v>
      </c>
      <c r="X7" s="8">
        <f>D7+H7+L7+P7+T7</f>
        <v>502524.80000000005</v>
      </c>
      <c r="Y7" s="8">
        <f>E7+I7+M7+Q7+U7</f>
        <v>301716.16000000003</v>
      </c>
      <c r="Z7" s="8">
        <f>F7+J7+N7+R7+V7</f>
        <v>804240.96</v>
      </c>
    </row>
    <row r="9" spans="1:26" x14ac:dyDescent="0.25">
      <c r="B9" s="5" t="s">
        <v>11</v>
      </c>
      <c r="C9" s="5"/>
      <c r="T9" s="1"/>
      <c r="U9" s="1"/>
      <c r="V9" s="1"/>
    </row>
    <row r="10" spans="1:26" x14ac:dyDescent="0.25">
      <c r="B10" s="2" t="s">
        <v>731</v>
      </c>
      <c r="C10" s="2"/>
      <c r="D10" s="9">
        <v>0</v>
      </c>
      <c r="E10" s="9">
        <f>ROUND(566574.34/10,2)</f>
        <v>56657.43</v>
      </c>
      <c r="F10" s="8">
        <f>D10+E10</f>
        <v>56657.43</v>
      </c>
      <c r="H10" s="9">
        <v>0</v>
      </c>
      <c r="I10" s="9">
        <f>ROUND(566574.34/10,2)</f>
        <v>56657.43</v>
      </c>
      <c r="J10" s="8">
        <f>H10+I10</f>
        <v>56657.43</v>
      </c>
      <c r="L10" s="9">
        <v>0</v>
      </c>
      <c r="M10" s="9">
        <f>ROUND(566574.34/10,2)</f>
        <v>56657.43</v>
      </c>
      <c r="N10" s="8">
        <f>L10+M10</f>
        <v>56657.43</v>
      </c>
      <c r="P10" s="9">
        <v>0</v>
      </c>
      <c r="Q10" s="9">
        <f>566574.34-E10-I10-M10</f>
        <v>396602.05</v>
      </c>
      <c r="R10" s="8">
        <f>P10+Q10</f>
        <v>396602.05</v>
      </c>
      <c r="T10" s="1"/>
      <c r="U10" s="1"/>
      <c r="V10" s="1"/>
      <c r="X10" s="8">
        <f t="shared" ref="X10:Z15" si="0">D10+H10+L10+P10+T10</f>
        <v>0</v>
      </c>
      <c r="Y10" s="8">
        <f t="shared" si="0"/>
        <v>566574.34</v>
      </c>
      <c r="Z10" s="8">
        <f t="shared" si="0"/>
        <v>566574.34</v>
      </c>
    </row>
    <row r="11" spans="1:26" x14ac:dyDescent="0.25">
      <c r="B11" s="2" t="s">
        <v>5</v>
      </c>
      <c r="C11" s="2"/>
      <c r="D11" s="9">
        <v>0</v>
      </c>
      <c r="E11" s="9">
        <f>ROUND(918.53/10,2)</f>
        <v>91.85</v>
      </c>
      <c r="F11" s="8">
        <f>D11+E11</f>
        <v>91.85</v>
      </c>
      <c r="H11" s="9">
        <v>0</v>
      </c>
      <c r="I11" s="9">
        <f>ROUND(918.53/10,2)</f>
        <v>91.85</v>
      </c>
      <c r="J11" s="8">
        <f>H11+I11</f>
        <v>91.85</v>
      </c>
      <c r="L11" s="9">
        <v>0</v>
      </c>
      <c r="M11" s="9">
        <f>ROUND(918.53/10,2)</f>
        <v>91.85</v>
      </c>
      <c r="N11" s="8">
        <f>L11+M11</f>
        <v>91.85</v>
      </c>
      <c r="P11" s="9">
        <v>0</v>
      </c>
      <c r="Q11" s="9">
        <f>918.53-E11-I11-M11</f>
        <v>642.9799999999999</v>
      </c>
      <c r="R11" s="8">
        <f>P11+Q11</f>
        <v>642.9799999999999</v>
      </c>
      <c r="T11" s="1"/>
      <c r="U11" s="1"/>
      <c r="V11" s="1"/>
      <c r="X11" s="8">
        <f t="shared" si="0"/>
        <v>0</v>
      </c>
      <c r="Y11" s="8">
        <f t="shared" si="0"/>
        <v>918.52999999999986</v>
      </c>
      <c r="Z11" s="8">
        <f t="shared" si="0"/>
        <v>918.52999999999986</v>
      </c>
    </row>
    <row r="12" spans="1:26" x14ac:dyDescent="0.25">
      <c r="B12" s="2" t="s">
        <v>218</v>
      </c>
      <c r="C12" s="2"/>
      <c r="D12" s="9">
        <v>0</v>
      </c>
      <c r="E12" s="9">
        <f>394391/10</f>
        <v>39439.1</v>
      </c>
      <c r="F12" s="8">
        <f>D12+E12</f>
        <v>39439.1</v>
      </c>
      <c r="H12" s="9">
        <v>0</v>
      </c>
      <c r="I12" s="9">
        <f>394391/10</f>
        <v>39439.1</v>
      </c>
      <c r="J12" s="8">
        <f>H12+I12</f>
        <v>39439.1</v>
      </c>
      <c r="L12" s="9">
        <v>0</v>
      </c>
      <c r="M12" s="9">
        <f>394391/10</f>
        <v>39439.1</v>
      </c>
      <c r="N12" s="8">
        <f>L12+M12</f>
        <v>39439.1</v>
      </c>
      <c r="P12" s="9">
        <v>0</v>
      </c>
      <c r="Q12" s="9">
        <f>394391-E12-I12-M12</f>
        <v>276073.70000000007</v>
      </c>
      <c r="R12" s="8">
        <f>P12+Q12</f>
        <v>276073.70000000007</v>
      </c>
      <c r="T12" s="1"/>
      <c r="U12" s="1"/>
      <c r="V12" s="1"/>
      <c r="X12" s="8">
        <f t="shared" si="0"/>
        <v>0</v>
      </c>
      <c r="Y12" s="8">
        <f t="shared" si="0"/>
        <v>394391.00000000006</v>
      </c>
      <c r="Z12" s="8">
        <f t="shared" si="0"/>
        <v>394391.00000000006</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181</v>
      </c>
      <c r="C14" s="2"/>
      <c r="D14" s="9">
        <v>0</v>
      </c>
      <c r="E14" s="9">
        <f>ROUND(3452.72/10,2)</f>
        <v>345.27</v>
      </c>
      <c r="F14" s="15">
        <f>D14+E14</f>
        <v>345.27</v>
      </c>
      <c r="H14" s="14">
        <v>0</v>
      </c>
      <c r="I14" s="9">
        <f>ROUND(3452.72/10,2)</f>
        <v>345.27</v>
      </c>
      <c r="J14" s="15">
        <f>H14+I14</f>
        <v>345.27</v>
      </c>
      <c r="L14" s="14">
        <v>0</v>
      </c>
      <c r="M14" s="9">
        <f>ROUND(3452.72/10,2)</f>
        <v>345.27</v>
      </c>
      <c r="N14" s="15">
        <f>L14+M14</f>
        <v>345.27</v>
      </c>
      <c r="P14" s="14">
        <v>0</v>
      </c>
      <c r="Q14" s="14">
        <f>3452.72-E14-I14-M14</f>
        <v>2416.91</v>
      </c>
      <c r="R14" s="15">
        <f>P14+Q14</f>
        <v>2416.91</v>
      </c>
      <c r="T14" s="1"/>
      <c r="U14" s="1"/>
      <c r="V14" s="1"/>
      <c r="X14" s="15">
        <f t="shared" si="0"/>
        <v>0</v>
      </c>
      <c r="Y14" s="15">
        <f t="shared" si="0"/>
        <v>3452.72</v>
      </c>
      <c r="Z14" s="15">
        <f t="shared" si="0"/>
        <v>3452.72</v>
      </c>
    </row>
    <row r="15" spans="1:26" x14ac:dyDescent="0.25">
      <c r="B15" s="2" t="s">
        <v>28</v>
      </c>
      <c r="C15" s="2"/>
      <c r="D15" s="26">
        <f>SUM(D10:D14)</f>
        <v>0</v>
      </c>
      <c r="E15" s="26">
        <f>SUM(E10:E14)</f>
        <v>96533.650000000009</v>
      </c>
      <c r="F15" s="26">
        <f>D15+E15</f>
        <v>96533.650000000009</v>
      </c>
      <c r="H15" s="26">
        <f>SUM(H10:H14)</f>
        <v>0</v>
      </c>
      <c r="I15" s="26">
        <f>SUM(I10:I14)</f>
        <v>96533.650000000009</v>
      </c>
      <c r="J15" s="26">
        <f>H15+I15</f>
        <v>96533.650000000009</v>
      </c>
      <c r="L15" s="26">
        <f>SUM(L10:L14)</f>
        <v>0</v>
      </c>
      <c r="M15" s="26">
        <f>SUM(M10:M14)</f>
        <v>96533.650000000009</v>
      </c>
      <c r="N15" s="26">
        <f>L15+M15</f>
        <v>96533.650000000009</v>
      </c>
      <c r="P15" s="26">
        <f>SUM(P10:P14)</f>
        <v>0</v>
      </c>
      <c r="Q15" s="26">
        <f>SUM(Q10:Q14)</f>
        <v>675735.64</v>
      </c>
      <c r="R15" s="26">
        <f>P15+Q15</f>
        <v>675735.64</v>
      </c>
      <c r="S15" s="1"/>
      <c r="T15" s="26">
        <f>SUM(T10:T14)</f>
        <v>0</v>
      </c>
      <c r="U15" s="26">
        <f>SUM(U10:U14)</f>
        <v>0</v>
      </c>
      <c r="V15" s="26">
        <f>T15+U15</f>
        <v>0</v>
      </c>
      <c r="X15" s="26">
        <f t="shared" si="0"/>
        <v>0</v>
      </c>
      <c r="Y15" s="26">
        <f t="shared" si="0"/>
        <v>965336.59000000008</v>
      </c>
      <c r="Z15" s="26">
        <f t="shared" si="0"/>
        <v>965336.59000000008</v>
      </c>
    </row>
    <row r="17" spans="2:26" x14ac:dyDescent="0.25">
      <c r="B17" s="5" t="s">
        <v>182</v>
      </c>
      <c r="C17" s="5"/>
      <c r="D17" s="1"/>
      <c r="E17" s="1"/>
      <c r="F17" s="1"/>
      <c r="H17" s="1"/>
      <c r="I17" s="1"/>
      <c r="J17" s="1"/>
      <c r="L17" s="1"/>
      <c r="M17" s="1"/>
      <c r="N17" s="1"/>
      <c r="P17" s="1"/>
      <c r="Q17" s="1"/>
      <c r="R17" s="1"/>
      <c r="T17" s="1"/>
      <c r="U17" s="1"/>
      <c r="V17" s="1"/>
    </row>
    <row r="18" spans="2:26" x14ac:dyDescent="0.25">
      <c r="B18" s="2" t="s">
        <v>7</v>
      </c>
      <c r="C18" s="2"/>
      <c r="H18" s="1"/>
      <c r="I18" s="1"/>
      <c r="J18" s="1"/>
      <c r="L18" s="1"/>
      <c r="M18" s="1"/>
      <c r="P18" s="15">
        <v>0</v>
      </c>
      <c r="Q18" s="15">
        <f>-T18</f>
        <v>-25352.97</v>
      </c>
      <c r="R18" s="15">
        <f>P18+Q18</f>
        <v>-25352.97</v>
      </c>
      <c r="T18" s="9">
        <f>ROUND(17.4172*5*52.5*1.02*1.02,2) + ROUND(27.17*2*52.5,2) + ROUND(22.44*19*40*1.02*1.02,2)</f>
        <v>25352.97</v>
      </c>
      <c r="U18" s="9">
        <v>0</v>
      </c>
      <c r="V18" s="8">
        <f>T18+U18</f>
        <v>25352.97</v>
      </c>
      <c r="X18" s="8">
        <f t="shared" ref="X18:Z23" si="8">D18+H18+L18+P18+T18</f>
        <v>25352.97</v>
      </c>
      <c r="Y18" s="8">
        <f t="shared" si="8"/>
        <v>-25352.97</v>
      </c>
      <c r="Z18" s="8">
        <f t="shared" si="8"/>
        <v>0</v>
      </c>
    </row>
    <row r="19" spans="2:26" x14ac:dyDescent="0.25">
      <c r="B19" s="2" t="s">
        <v>179</v>
      </c>
      <c r="C19" s="2"/>
      <c r="H19" s="1"/>
      <c r="I19" s="1"/>
      <c r="J19" s="1"/>
      <c r="L19" s="1"/>
      <c r="M19" s="1"/>
      <c r="P19" s="8">
        <v>0</v>
      </c>
      <c r="Q19" s="8">
        <f>-T19</f>
        <v>-7872.03</v>
      </c>
      <c r="R19" s="8">
        <f>P19+Q19</f>
        <v>-7872.03</v>
      </c>
      <c r="T19" s="9">
        <f>2500+5372.03</f>
        <v>7872.03</v>
      </c>
      <c r="U19" s="9">
        <v>0</v>
      </c>
      <c r="V19" s="8">
        <f>T19+U19</f>
        <v>7872.03</v>
      </c>
      <c r="X19" s="8">
        <f t="shared" si="8"/>
        <v>7872.03</v>
      </c>
      <c r="Y19" s="8">
        <f t="shared" si="8"/>
        <v>-7872.03</v>
      </c>
      <c r="Z19" s="8">
        <f t="shared" si="8"/>
        <v>0</v>
      </c>
    </row>
    <row r="20" spans="2:26" x14ac:dyDescent="0.25">
      <c r="B20" s="2" t="s">
        <v>186</v>
      </c>
      <c r="C20" s="6" t="s">
        <v>17</v>
      </c>
      <c r="L20" s="9">
        <v>66000</v>
      </c>
      <c r="M20" s="8">
        <f>-L20</f>
        <v>-66000</v>
      </c>
      <c r="N20" s="8">
        <f>L20+M20</f>
        <v>0</v>
      </c>
      <c r="P20" s="9">
        <f>487112.5-66000</f>
        <v>421112.5</v>
      </c>
      <c r="Q20" s="8">
        <f>-P20</f>
        <v>-421112.5</v>
      </c>
      <c r="R20" s="8">
        <f>P20+Q20</f>
        <v>0</v>
      </c>
      <c r="X20" s="8">
        <f t="shared" ref="X20" si="9">D20+H20+L20+P20+T20</f>
        <v>487112.5</v>
      </c>
      <c r="Y20" s="8">
        <f t="shared" ref="Y20" si="10">E20+I20+M20+Q20+U20</f>
        <v>-487112.5</v>
      </c>
      <c r="Z20" s="8">
        <f t="shared" ref="Z20" si="11">F20+J20+N20+R20+V20</f>
        <v>0</v>
      </c>
    </row>
    <row r="21" spans="2:26" x14ac:dyDescent="0.25">
      <c r="B21" s="2" t="s">
        <v>216</v>
      </c>
      <c r="C21" s="6" t="s">
        <v>376</v>
      </c>
      <c r="D21" s="9">
        <v>15847</v>
      </c>
      <c r="E21" s="9">
        <f>-D21</f>
        <v>-15847</v>
      </c>
      <c r="F21" s="8">
        <f>D21+E21</f>
        <v>0</v>
      </c>
      <c r="H21" s="1"/>
      <c r="I21" s="1"/>
      <c r="J21" s="1"/>
      <c r="L21" s="1"/>
      <c r="M21" s="1"/>
      <c r="N21" s="1"/>
      <c r="T21" s="1"/>
      <c r="X21" s="8">
        <f t="shared" si="8"/>
        <v>15847</v>
      </c>
      <c r="Y21" s="8">
        <f t="shared" si="8"/>
        <v>-15847</v>
      </c>
      <c r="Z21" s="8">
        <f t="shared" si="8"/>
        <v>0</v>
      </c>
    </row>
    <row r="22" spans="2:26" ht="15.75" thickBot="1" x14ac:dyDescent="0.3">
      <c r="B22" s="2" t="s">
        <v>217</v>
      </c>
      <c r="C22" s="6" t="s">
        <v>473</v>
      </c>
      <c r="H22" s="1"/>
      <c r="I22" s="1"/>
      <c r="J22" s="1"/>
      <c r="L22" s="1"/>
      <c r="M22" s="1"/>
      <c r="N22" s="1"/>
      <c r="P22" s="9">
        <f>309000-299587.5</f>
        <v>9412.5</v>
      </c>
      <c r="Q22" s="9">
        <f>-P22</f>
        <v>-9412.5</v>
      </c>
      <c r="R22" s="8">
        <f>P22+Q22</f>
        <v>0</v>
      </c>
      <c r="T22" s="1"/>
      <c r="X22" s="8">
        <f>D22+H22+L22+P22+T22</f>
        <v>9412.5</v>
      </c>
      <c r="Y22" s="8">
        <f>E22+I22+M22+Q22+U22</f>
        <v>-9412.5</v>
      </c>
      <c r="Z22" s="8">
        <f>F22+J22+N22+R22+V22</f>
        <v>0</v>
      </c>
    </row>
    <row r="23" spans="2:26" x14ac:dyDescent="0.25">
      <c r="B23" s="2" t="s">
        <v>183</v>
      </c>
      <c r="C23" s="2"/>
      <c r="D23" s="26">
        <f>SUM(D18:D22)</f>
        <v>15847</v>
      </c>
      <c r="E23" s="26">
        <f>SUM(E18:E22)</f>
        <v>-15847</v>
      </c>
      <c r="F23" s="26">
        <f>D23+E23</f>
        <v>0</v>
      </c>
      <c r="H23" s="26">
        <f>SUM(H18:H22)</f>
        <v>0</v>
      </c>
      <c r="I23" s="26">
        <f>SUM(I18:I22)</f>
        <v>0</v>
      </c>
      <c r="J23" s="26">
        <f>H23+I23</f>
        <v>0</v>
      </c>
      <c r="L23" s="26">
        <f>SUM(L18:L22)</f>
        <v>66000</v>
      </c>
      <c r="M23" s="26">
        <f>SUM(M18:M22)</f>
        <v>-66000</v>
      </c>
      <c r="N23" s="26">
        <f>L23+M23</f>
        <v>0</v>
      </c>
      <c r="P23" s="26">
        <f>SUM(P18:P22)</f>
        <v>430525</v>
      </c>
      <c r="Q23" s="26">
        <f>SUM(Q18:Q22)</f>
        <v>-463750</v>
      </c>
      <c r="R23" s="26">
        <f>P23+Q23</f>
        <v>-33225</v>
      </c>
      <c r="S23" s="1"/>
      <c r="T23" s="26">
        <f>SUM(T18:T22)</f>
        <v>33225</v>
      </c>
      <c r="U23" s="26">
        <f>SUM(U18:U22)</f>
        <v>0</v>
      </c>
      <c r="V23" s="26">
        <f>T23+U23</f>
        <v>33225</v>
      </c>
      <c r="X23" s="26">
        <f t="shared" si="8"/>
        <v>545597</v>
      </c>
      <c r="Y23" s="26">
        <f t="shared" si="8"/>
        <v>-545597</v>
      </c>
      <c r="Z23" s="26">
        <f t="shared" si="8"/>
        <v>0</v>
      </c>
    </row>
    <row r="24" spans="2:26" x14ac:dyDescent="0.25">
      <c r="H24" s="1"/>
      <c r="I24" s="1"/>
      <c r="J24" s="1"/>
      <c r="L24" s="1"/>
      <c r="M24" s="1"/>
      <c r="N24" s="1"/>
      <c r="P24" s="1"/>
      <c r="Q24" s="1"/>
      <c r="R24" s="1"/>
    </row>
    <row r="25" spans="2:26" x14ac:dyDescent="0.25">
      <c r="B25" s="5" t="s">
        <v>8</v>
      </c>
      <c r="C25" s="5"/>
      <c r="H25" s="1"/>
      <c r="I25" s="1"/>
      <c r="J25" s="1"/>
      <c r="L25" s="1"/>
      <c r="M25" s="1"/>
      <c r="N25" s="1"/>
      <c r="P25" s="1"/>
      <c r="Q25" s="1"/>
    </row>
    <row r="26" spans="2:26" x14ac:dyDescent="0.25">
      <c r="B26" s="2" t="s">
        <v>7</v>
      </c>
      <c r="C26" s="2"/>
      <c r="D26" s="1"/>
      <c r="E26" s="1"/>
      <c r="F26" s="1"/>
      <c r="H26" s="1"/>
      <c r="I26" s="1"/>
      <c r="J26" s="1"/>
      <c r="T26" s="9">
        <v>-21746.78</v>
      </c>
      <c r="U26" s="9">
        <v>0</v>
      </c>
      <c r="V26" s="8">
        <f>T26+U26</f>
        <v>-21746.78</v>
      </c>
      <c r="X26" s="8">
        <f t="shared" ref="X26:Y33" si="12">D26+H26+L26+P26+T26</f>
        <v>-21746.78</v>
      </c>
      <c r="Y26" s="8">
        <f t="shared" si="12"/>
        <v>0</v>
      </c>
      <c r="Z26" s="8">
        <f t="shared" ref="Z26:Z30" si="13">X26+Y26</f>
        <v>-21746.78</v>
      </c>
    </row>
    <row r="27" spans="2:26" x14ac:dyDescent="0.25">
      <c r="B27" s="2" t="s">
        <v>52</v>
      </c>
      <c r="C27" s="2"/>
      <c r="D27" s="1"/>
      <c r="E27" s="1"/>
      <c r="F27" s="1"/>
      <c r="H27" s="1"/>
      <c r="I27" s="1"/>
      <c r="J27" s="1"/>
      <c r="L27" s="1"/>
      <c r="M27" s="1"/>
      <c r="N27" s="1"/>
      <c r="P27" s="1"/>
      <c r="Q27" s="1"/>
      <c r="R27" s="1"/>
      <c r="T27" s="9">
        <v>-2941.5</v>
      </c>
      <c r="U27" s="9">
        <v>0</v>
      </c>
      <c r="V27" s="8">
        <f>T27+U27</f>
        <v>-2941.5</v>
      </c>
      <c r="X27" s="8">
        <f t="shared" si="12"/>
        <v>-2941.5</v>
      </c>
      <c r="Y27" s="8">
        <f t="shared" si="12"/>
        <v>0</v>
      </c>
      <c r="Z27" s="8">
        <f t="shared" si="13"/>
        <v>-2941.5</v>
      </c>
    </row>
    <row r="28" spans="2:26" x14ac:dyDescent="0.25">
      <c r="B28" s="2" t="s">
        <v>186</v>
      </c>
      <c r="C28" s="6" t="s">
        <v>17</v>
      </c>
      <c r="D28" s="1"/>
      <c r="E28" s="1"/>
      <c r="F28" s="1"/>
      <c r="H28" s="1"/>
      <c r="I28" s="1"/>
      <c r="J28" s="1"/>
      <c r="L28" s="9">
        <v>-66000</v>
      </c>
      <c r="M28" s="9">
        <v>0</v>
      </c>
      <c r="N28" s="8">
        <f>L28+M28</f>
        <v>-66000</v>
      </c>
      <c r="P28" s="9">
        <f>-487112.5+66000</f>
        <v>-421112.5</v>
      </c>
      <c r="Q28" s="9">
        <v>0</v>
      </c>
      <c r="R28" s="15">
        <f t="shared" ref="R28" si="14">P28+Q28</f>
        <v>-421112.5</v>
      </c>
      <c r="X28" s="8">
        <f t="shared" ref="X28" si="15">D28+H28+L28+P28+T28</f>
        <v>-487112.5</v>
      </c>
      <c r="Y28" s="8">
        <f t="shared" ref="Y28" si="16">E28+I28+M28+Q28+U28</f>
        <v>0</v>
      </c>
      <c r="Z28" s="8">
        <f t="shared" ref="Z28" si="17">X28+Y28</f>
        <v>-487112.5</v>
      </c>
    </row>
    <row r="29" spans="2:26" x14ac:dyDescent="0.25">
      <c r="B29" s="2" t="s">
        <v>138</v>
      </c>
      <c r="C29" s="6" t="s">
        <v>162</v>
      </c>
      <c r="D29" s="1"/>
      <c r="E29" s="1"/>
      <c r="F29" s="1"/>
      <c r="H29" s="9">
        <v>-49658.02</v>
      </c>
      <c r="I29" s="9">
        <v>0</v>
      </c>
      <c r="J29" s="8">
        <f>H29+I29</f>
        <v>-49658.02</v>
      </c>
      <c r="L29" s="1"/>
      <c r="M29" s="1"/>
      <c r="N29" s="1"/>
      <c r="P29" s="9">
        <v>0</v>
      </c>
      <c r="Q29" s="9">
        <v>0</v>
      </c>
      <c r="R29" s="8">
        <f t="shared" ref="R29:R33" si="18">P29+Q29</f>
        <v>0</v>
      </c>
      <c r="X29" s="8">
        <f t="shared" si="12"/>
        <v>-49658.02</v>
      </c>
      <c r="Y29" s="8">
        <f t="shared" si="12"/>
        <v>0</v>
      </c>
      <c r="Z29" s="8">
        <f t="shared" si="13"/>
        <v>-49658.02</v>
      </c>
    </row>
    <row r="30" spans="2:26" x14ac:dyDescent="0.25">
      <c r="B30" s="2" t="s">
        <v>213</v>
      </c>
      <c r="C30" s="6" t="s">
        <v>214</v>
      </c>
      <c r="H30" s="9">
        <f>-31627+20000</f>
        <v>-11627</v>
      </c>
      <c r="I30" s="9">
        <v>0</v>
      </c>
      <c r="J30" s="8">
        <f>H30+I30</f>
        <v>-11627</v>
      </c>
      <c r="L30" s="1"/>
      <c r="M30" s="1"/>
      <c r="N30" s="1"/>
      <c r="P30" s="9">
        <f>-193782+59887</f>
        <v>-133895</v>
      </c>
      <c r="Q30" s="9">
        <v>0</v>
      </c>
      <c r="R30" s="8">
        <f t="shared" si="18"/>
        <v>-133895</v>
      </c>
      <c r="X30" s="8">
        <f t="shared" si="12"/>
        <v>-145522</v>
      </c>
      <c r="Y30" s="8">
        <f t="shared" si="12"/>
        <v>0</v>
      </c>
      <c r="Z30" s="8">
        <f t="shared" si="13"/>
        <v>-145522</v>
      </c>
    </row>
    <row r="31" spans="2:26" x14ac:dyDescent="0.25">
      <c r="B31" s="2" t="s">
        <v>216</v>
      </c>
      <c r="C31" s="6" t="s">
        <v>376</v>
      </c>
      <c r="D31" s="9">
        <f>-15847+2077</f>
        <v>-13770</v>
      </c>
      <c r="E31" s="9">
        <v>0</v>
      </c>
      <c r="F31" s="8">
        <f>D31+E31</f>
        <v>-13770</v>
      </c>
      <c r="L31" s="1"/>
      <c r="M31" s="1"/>
      <c r="N31" s="1"/>
      <c r="X31" s="8">
        <f>D31+H31+L31+P31+T31</f>
        <v>-13770</v>
      </c>
      <c r="Y31" s="8">
        <f>E31+I31+M31+Q31+U31</f>
        <v>0</v>
      </c>
      <c r="Z31" s="8">
        <f>X31+Y31</f>
        <v>-13770</v>
      </c>
    </row>
    <row r="32" spans="2:26" ht="15.75" thickBot="1" x14ac:dyDescent="0.3">
      <c r="B32" s="2" t="s">
        <v>217</v>
      </c>
      <c r="C32" s="6" t="s">
        <v>473</v>
      </c>
      <c r="L32" s="1"/>
      <c r="M32" s="1"/>
      <c r="N32" s="1"/>
      <c r="P32" s="9">
        <v>0</v>
      </c>
      <c r="Q32" s="9">
        <v>0</v>
      </c>
      <c r="R32" s="8">
        <f t="shared" si="18"/>
        <v>0</v>
      </c>
      <c r="X32" s="8">
        <f>D32+H32+L32+P32+T32</f>
        <v>0</v>
      </c>
      <c r="Y32" s="8">
        <f>E32+I32+M32+Q32+U32</f>
        <v>0</v>
      </c>
      <c r="Z32" s="8">
        <f>X32+Y32</f>
        <v>0</v>
      </c>
    </row>
    <row r="33" spans="2:26" x14ac:dyDescent="0.25">
      <c r="B33" s="2" t="s">
        <v>31</v>
      </c>
      <c r="C33" s="2"/>
      <c r="D33" s="26">
        <f>SUM(D26:D32)</f>
        <v>-13770</v>
      </c>
      <c r="E33" s="26">
        <f>SUM(E26:E32)</f>
        <v>0</v>
      </c>
      <c r="F33" s="26">
        <f>D33+E33</f>
        <v>-13770</v>
      </c>
      <c r="H33" s="26">
        <f>SUM(H26:H32)</f>
        <v>-61285.02</v>
      </c>
      <c r="I33" s="26">
        <f>SUM(I26:I32)</f>
        <v>0</v>
      </c>
      <c r="J33" s="26">
        <f>H33+I33</f>
        <v>-61285.02</v>
      </c>
      <c r="L33" s="26">
        <f>SUM(L26:L32)</f>
        <v>-66000</v>
      </c>
      <c r="M33" s="26">
        <f>SUM(M26:M32)</f>
        <v>0</v>
      </c>
      <c r="N33" s="26">
        <f>L33+M33</f>
        <v>-66000</v>
      </c>
      <c r="P33" s="26">
        <f>SUM(P26:P32)</f>
        <v>-555007.5</v>
      </c>
      <c r="Q33" s="26">
        <f>SUM(Q26:Q32)</f>
        <v>0</v>
      </c>
      <c r="R33" s="26">
        <f t="shared" si="18"/>
        <v>-555007.5</v>
      </c>
      <c r="S33" s="1"/>
      <c r="T33" s="26">
        <f>SUM(T26:T32)</f>
        <v>-24688.28</v>
      </c>
      <c r="U33" s="26">
        <f>SUM(U26:U32)</f>
        <v>0</v>
      </c>
      <c r="V33" s="26">
        <f>T33+U33</f>
        <v>-24688.28</v>
      </c>
      <c r="X33" s="26">
        <f t="shared" si="12"/>
        <v>-720750.8</v>
      </c>
      <c r="Y33" s="26">
        <f t="shared" si="12"/>
        <v>0</v>
      </c>
      <c r="Z33" s="26">
        <f>F33+J33+N33+R33+V33</f>
        <v>-720750.8</v>
      </c>
    </row>
    <row r="34" spans="2:26" x14ac:dyDescent="0.25">
      <c r="D34" s="1"/>
      <c r="E34" s="1"/>
      <c r="F34" s="1"/>
      <c r="H34" s="1"/>
      <c r="I34" s="1"/>
      <c r="J34" s="1"/>
      <c r="L34" s="1"/>
      <c r="M34" s="1"/>
      <c r="N34" s="1"/>
      <c r="P34" s="1"/>
      <c r="Q34" s="1"/>
      <c r="R34" s="1"/>
      <c r="T34" s="1"/>
      <c r="U34" s="1"/>
      <c r="V34" s="1"/>
      <c r="X34" s="1"/>
    </row>
    <row r="35" spans="2:26" x14ac:dyDescent="0.25">
      <c r="B35" s="5" t="s">
        <v>10</v>
      </c>
      <c r="C35" s="5"/>
      <c r="D35" s="1"/>
      <c r="E35" s="1"/>
      <c r="F35" s="1"/>
      <c r="L35" s="1"/>
      <c r="M35" s="1"/>
      <c r="N35" s="1"/>
    </row>
    <row r="36" spans="2:26" x14ac:dyDescent="0.25">
      <c r="B36" s="2" t="s">
        <v>7</v>
      </c>
      <c r="C36" s="2"/>
      <c r="P36" s="9">
        <v>0</v>
      </c>
      <c r="Q36" s="9">
        <f>-T36</f>
        <v>3606.1900000000023</v>
      </c>
      <c r="R36" s="8">
        <f>P36+Q36</f>
        <v>3606.1900000000023</v>
      </c>
      <c r="T36" s="9">
        <f>-T18-T26</f>
        <v>-3606.1900000000023</v>
      </c>
      <c r="U36" s="9">
        <v>0</v>
      </c>
      <c r="V36" s="8">
        <f>T36+U36</f>
        <v>-3606.1900000000023</v>
      </c>
      <c r="X36" s="8">
        <f t="shared" ref="X36:Y40" si="19">D36+H36+L36+P36+T36</f>
        <v>-3606.1900000000023</v>
      </c>
      <c r="Y36" s="8">
        <f t="shared" si="19"/>
        <v>3606.1900000000023</v>
      </c>
      <c r="Z36" s="8">
        <f>X36+Y36</f>
        <v>0</v>
      </c>
    </row>
    <row r="37" spans="2:26" x14ac:dyDescent="0.25">
      <c r="B37" s="2" t="s">
        <v>52</v>
      </c>
      <c r="C37" s="2"/>
      <c r="P37" s="9">
        <v>0</v>
      </c>
      <c r="Q37" s="9">
        <f>-T37</f>
        <v>4930.53</v>
      </c>
      <c r="R37" s="8">
        <f>P37+Q37</f>
        <v>4930.53</v>
      </c>
      <c r="T37" s="9">
        <f>-T19-T27</f>
        <v>-4930.53</v>
      </c>
      <c r="U37" s="9">
        <v>0</v>
      </c>
      <c r="V37" s="8">
        <f>T37+U37</f>
        <v>-4930.53</v>
      </c>
      <c r="X37" s="8">
        <f t="shared" si="19"/>
        <v>-4930.53</v>
      </c>
      <c r="Y37" s="8">
        <f t="shared" si="19"/>
        <v>4930.53</v>
      </c>
      <c r="Z37" s="8">
        <f>X37+Y37</f>
        <v>0</v>
      </c>
    </row>
    <row r="38" spans="2:26" x14ac:dyDescent="0.25">
      <c r="B38" s="2" t="s">
        <v>138</v>
      </c>
      <c r="C38" s="6" t="s">
        <v>162</v>
      </c>
      <c r="H38" s="9">
        <v>0</v>
      </c>
      <c r="I38" s="8">
        <f>-H38</f>
        <v>0</v>
      </c>
      <c r="J38" s="8">
        <f>H38+I38</f>
        <v>0</v>
      </c>
      <c r="P38" s="9">
        <f>-3181.3</f>
        <v>-3181.3</v>
      </c>
      <c r="Q38" s="8">
        <f>-P38</f>
        <v>3181.3</v>
      </c>
      <c r="R38" s="8">
        <f>P38+Q38</f>
        <v>0</v>
      </c>
      <c r="X38" s="8">
        <f t="shared" ref="X38" si="20">D38+H38+L38+P38+T38</f>
        <v>-3181.3</v>
      </c>
      <c r="Y38" s="8">
        <f t="shared" ref="Y38" si="21">E38+I38+M38+Q38+U38</f>
        <v>3181.3</v>
      </c>
      <c r="Z38" s="8">
        <f>X38+Y38</f>
        <v>0</v>
      </c>
    </row>
    <row r="39" spans="2:26" x14ac:dyDescent="0.25">
      <c r="B39" s="2" t="s">
        <v>216</v>
      </c>
      <c r="C39" s="6" t="s">
        <v>376</v>
      </c>
      <c r="D39" s="9">
        <v>-2077</v>
      </c>
      <c r="E39" s="8">
        <f>-D39</f>
        <v>2077</v>
      </c>
      <c r="F39" s="8">
        <f>D39+E39</f>
        <v>0</v>
      </c>
      <c r="X39" s="8">
        <f t="shared" si="19"/>
        <v>-2077</v>
      </c>
      <c r="Y39" s="8">
        <f t="shared" si="19"/>
        <v>2077</v>
      </c>
      <c r="Z39" s="8">
        <f>X39+Y39</f>
        <v>0</v>
      </c>
    </row>
    <row r="40" spans="2:26" ht="15.75" thickBot="1" x14ac:dyDescent="0.3">
      <c r="B40" s="2" t="s">
        <v>217</v>
      </c>
      <c r="C40" s="6" t="s">
        <v>473</v>
      </c>
      <c r="P40" s="9">
        <v>-309000</v>
      </c>
      <c r="Q40" s="9">
        <f>-P40</f>
        <v>309000</v>
      </c>
      <c r="R40" s="8">
        <f>P40+Q40</f>
        <v>0</v>
      </c>
      <c r="X40" s="8">
        <f t="shared" si="19"/>
        <v>-309000</v>
      </c>
      <c r="Y40" s="8">
        <f t="shared" si="19"/>
        <v>309000</v>
      </c>
      <c r="Z40" s="8">
        <f>X40+Y40</f>
        <v>0</v>
      </c>
    </row>
    <row r="41" spans="2:26" x14ac:dyDescent="0.25">
      <c r="B41" s="2" t="s">
        <v>39</v>
      </c>
      <c r="C41" s="2"/>
      <c r="D41" s="26">
        <f>SUM(D36:D40)</f>
        <v>-2077</v>
      </c>
      <c r="E41" s="26">
        <f>SUM(E36:E40)</f>
        <v>2077</v>
      </c>
      <c r="F41" s="26">
        <f>D41+E41</f>
        <v>0</v>
      </c>
      <c r="H41" s="26">
        <f>SUM(H36:H40)</f>
        <v>0</v>
      </c>
      <c r="I41" s="26">
        <f>SUM(I36:I40)</f>
        <v>0</v>
      </c>
      <c r="J41" s="26">
        <f>H41+I41</f>
        <v>0</v>
      </c>
      <c r="L41" s="26">
        <f>SUM(L36:L40)</f>
        <v>0</v>
      </c>
      <c r="M41" s="26">
        <f>SUM(M36:M40)</f>
        <v>0</v>
      </c>
      <c r="N41" s="26">
        <f>L41+M41</f>
        <v>0</v>
      </c>
      <c r="P41" s="26">
        <f>SUM(P36:P40)</f>
        <v>-312181.3</v>
      </c>
      <c r="Q41" s="26">
        <f>SUM(Q36:Q40)</f>
        <v>320718.02</v>
      </c>
      <c r="R41" s="26">
        <f>P41+Q41</f>
        <v>8536.7200000000303</v>
      </c>
      <c r="S41" s="1"/>
      <c r="T41" s="26">
        <f>SUM(T36:T40)</f>
        <v>-8536.7200000000012</v>
      </c>
      <c r="U41" s="26">
        <f>SUM(U36:U40)</f>
        <v>0</v>
      </c>
      <c r="V41" s="26">
        <f>T41+U41</f>
        <v>-8536.7200000000012</v>
      </c>
      <c r="X41" s="26">
        <f>D41+H41+L41+P41+T41</f>
        <v>-322795.02</v>
      </c>
      <c r="Y41" s="26">
        <f>E41+I41+M41+Q41+U41</f>
        <v>322795.02</v>
      </c>
      <c r="Z41" s="26">
        <f>F41+J41+N41+R41+V41</f>
        <v>2.9103830456733704E-11</v>
      </c>
    </row>
    <row r="42" spans="2:26" x14ac:dyDescent="0.25">
      <c r="L42" s="1"/>
      <c r="M42" s="1"/>
      <c r="N42" s="1"/>
      <c r="P42" s="1"/>
      <c r="Q42" s="1"/>
      <c r="R42" s="1"/>
    </row>
    <row r="43" spans="2:26" x14ac:dyDescent="0.25">
      <c r="B43" s="2" t="s">
        <v>184</v>
      </c>
      <c r="C43" s="2"/>
      <c r="D43" s="8">
        <f>D7+D15+D23+D33+D41</f>
        <v>0</v>
      </c>
      <c r="E43" s="8">
        <f>E7+E15+E23+E33+E41</f>
        <v>274852.42</v>
      </c>
      <c r="F43" s="8">
        <f>D43+E43</f>
        <v>274852.42</v>
      </c>
      <c r="H43" s="8">
        <f>H7+H15+H23+H33+H41</f>
        <v>3859.75</v>
      </c>
      <c r="I43" s="8">
        <f>I7+I15+I23+I33+I41</f>
        <v>163158.53000000003</v>
      </c>
      <c r="J43" s="8">
        <f>H43+I43</f>
        <v>167018.28000000003</v>
      </c>
      <c r="L43" s="8">
        <f>L7+L15+L23+L33+L41</f>
        <v>0</v>
      </c>
      <c r="M43" s="8">
        <f>M7+M15+M23+M33+M41</f>
        <v>36121.460000000006</v>
      </c>
      <c r="N43" s="8">
        <f>L43+M43</f>
        <v>36121.460000000006</v>
      </c>
      <c r="P43" s="8">
        <f>P7+P15+P23+P33+P41</f>
        <v>716.23000000003958</v>
      </c>
      <c r="Q43" s="8">
        <f>Q7+Q15+Q23+Q33+Q41</f>
        <v>570118.36</v>
      </c>
      <c r="R43" s="8">
        <f>P43+Q43</f>
        <v>570834.59000000008</v>
      </c>
      <c r="T43" s="8">
        <f>T7+T15+T23+T33+T41</f>
        <v>0</v>
      </c>
      <c r="U43" s="8">
        <f>U7+U15+U23+U33+U41</f>
        <v>0</v>
      </c>
      <c r="V43" s="8">
        <f>T43+U43</f>
        <v>0</v>
      </c>
      <c r="X43" s="8">
        <f>D43+H43+L43+P43+T43</f>
        <v>4575.9800000000396</v>
      </c>
      <c r="Y43" s="8">
        <f>E43+I43+M43+Q43+U43</f>
        <v>1044250.77</v>
      </c>
      <c r="Z43" s="8">
        <f>X43+Y43</f>
        <v>1048826.75</v>
      </c>
    </row>
    <row r="44" spans="2:26" x14ac:dyDescent="0.25">
      <c r="L44" s="1"/>
      <c r="M44" s="1"/>
      <c r="N44" s="1"/>
      <c r="P44" s="1"/>
      <c r="Q44" s="1"/>
      <c r="R44" s="1"/>
    </row>
    <row r="45" spans="2:26" x14ac:dyDescent="0.25">
      <c r="B45" s="5" t="s">
        <v>185</v>
      </c>
      <c r="C45" s="5"/>
      <c r="L45" s="1"/>
      <c r="M45" s="1"/>
      <c r="N45" s="1"/>
      <c r="P45" s="1"/>
    </row>
    <row r="46" spans="2:26" x14ac:dyDescent="0.25">
      <c r="B46" s="2" t="s">
        <v>195</v>
      </c>
      <c r="C46" s="6" t="s">
        <v>17</v>
      </c>
      <c r="L46" s="9">
        <v>31727</v>
      </c>
      <c r="M46" s="8">
        <f>-L46</f>
        <v>-31727</v>
      </c>
      <c r="N46" s="8">
        <f>L46+M46</f>
        <v>0</v>
      </c>
      <c r="P46" s="1"/>
      <c r="X46" s="8">
        <f t="shared" ref="X46:Y50" si="22">D46+H46+L46+P46+T46</f>
        <v>31727</v>
      </c>
      <c r="Y46" s="8">
        <f t="shared" si="22"/>
        <v>-31727</v>
      </c>
      <c r="Z46" s="8">
        <f>X46+Y46</f>
        <v>0</v>
      </c>
    </row>
    <row r="47" spans="2:26" x14ac:dyDescent="0.25">
      <c r="B47" s="2" t="s">
        <v>249</v>
      </c>
      <c r="C47" s="6" t="s">
        <v>373</v>
      </c>
      <c r="P47" s="9">
        <v>90623</v>
      </c>
      <c r="Q47" s="8">
        <f>-P47</f>
        <v>-90623</v>
      </c>
      <c r="R47" s="8">
        <f>P47+Q47</f>
        <v>0</v>
      </c>
      <c r="X47" s="8">
        <f t="shared" si="22"/>
        <v>90623</v>
      </c>
      <c r="Y47" s="8">
        <f t="shared" si="22"/>
        <v>-90623</v>
      </c>
      <c r="Z47" s="8">
        <f>X47+Y47</f>
        <v>0</v>
      </c>
    </row>
    <row r="48" spans="2:26" x14ac:dyDescent="0.25">
      <c r="B48" s="2" t="s">
        <v>276</v>
      </c>
      <c r="C48" s="6" t="s">
        <v>363</v>
      </c>
      <c r="P48" s="9">
        <f>177638-90623</f>
        <v>87015</v>
      </c>
      <c r="Q48" s="8">
        <f>-P48</f>
        <v>-87015</v>
      </c>
      <c r="R48" s="8">
        <f>P48+Q48</f>
        <v>0</v>
      </c>
      <c r="X48" s="8">
        <f t="shared" si="22"/>
        <v>87015</v>
      </c>
      <c r="Y48" s="8">
        <f t="shared" si="22"/>
        <v>-87015</v>
      </c>
      <c r="Z48" s="8">
        <f>X48+Y48</f>
        <v>0</v>
      </c>
    </row>
    <row r="49" spans="1:26" ht="15.75" thickBot="1" x14ac:dyDescent="0.3">
      <c r="B49" s="2" t="s">
        <v>244</v>
      </c>
      <c r="C49" s="2"/>
      <c r="D49" s="14">
        <v>0</v>
      </c>
      <c r="E49" s="14">
        <v>0.01</v>
      </c>
      <c r="F49" s="8">
        <f>D49+E49</f>
        <v>0.01</v>
      </c>
      <c r="H49" s="14">
        <v>0</v>
      </c>
      <c r="I49" s="14">
        <v>0.01</v>
      </c>
      <c r="J49" s="12">
        <f>H49+I49</f>
        <v>0.01</v>
      </c>
      <c r="L49" s="14">
        <v>0</v>
      </c>
      <c r="M49" s="14">
        <v>0.01</v>
      </c>
      <c r="N49" s="8">
        <f>L49+M49</f>
        <v>0.01</v>
      </c>
      <c r="P49" s="14">
        <v>0</v>
      </c>
      <c r="Q49" s="14">
        <v>-0.02</v>
      </c>
      <c r="R49" s="8">
        <f>P49+Q49</f>
        <v>-0.02</v>
      </c>
      <c r="T49" s="14">
        <v>0</v>
      </c>
      <c r="U49" s="14">
        <v>0</v>
      </c>
      <c r="V49" s="8">
        <f>T49+U49</f>
        <v>0</v>
      </c>
      <c r="X49" s="8">
        <f t="shared" si="22"/>
        <v>0</v>
      </c>
      <c r="Y49" s="8">
        <f t="shared" si="22"/>
        <v>9.9999999999999985E-3</v>
      </c>
      <c r="Z49" s="8">
        <f>X49+Y49</f>
        <v>9.9999999999999985E-3</v>
      </c>
    </row>
    <row r="50" spans="1:26" x14ac:dyDescent="0.25">
      <c r="B50" s="2" t="s">
        <v>187</v>
      </c>
      <c r="C50" s="2"/>
      <c r="D50" s="26">
        <f>SUM(D46:D49)</f>
        <v>0</v>
      </c>
      <c r="E50" s="26">
        <f>SUM(E46:E49)</f>
        <v>0.01</v>
      </c>
      <c r="F50" s="26">
        <f>D50+E50</f>
        <v>0.01</v>
      </c>
      <c r="H50" s="26">
        <f>SUM(H46:H49)</f>
        <v>0</v>
      </c>
      <c r="I50" s="26">
        <f>SUM(I46:I49)</f>
        <v>0.01</v>
      </c>
      <c r="J50" s="26">
        <f>H50+I50</f>
        <v>0.01</v>
      </c>
      <c r="L50" s="26">
        <f>SUM(L46:L49)</f>
        <v>31727</v>
      </c>
      <c r="M50" s="26">
        <f>SUM(M46:M49)</f>
        <v>-31726.99</v>
      </c>
      <c r="N50" s="26">
        <f>L50+M50</f>
        <v>9.9999999983992893E-3</v>
      </c>
      <c r="P50" s="26">
        <f>SUM(P46:P49)</f>
        <v>177638</v>
      </c>
      <c r="Q50" s="26">
        <f>SUM(Q46:Q49)</f>
        <v>-177638.02</v>
      </c>
      <c r="R50" s="26">
        <f>P50+Q50</f>
        <v>-1.9999999989522621E-2</v>
      </c>
      <c r="S50" s="1"/>
      <c r="T50" s="26">
        <f>SUM(T46:T49)</f>
        <v>0</v>
      </c>
      <c r="U50" s="26">
        <f>SUM(U46:U49)</f>
        <v>0</v>
      </c>
      <c r="V50" s="26">
        <f>T50+U50</f>
        <v>0</v>
      </c>
      <c r="X50" s="26">
        <f t="shared" si="22"/>
        <v>209365</v>
      </c>
      <c r="Y50" s="26">
        <f t="shared" si="22"/>
        <v>-209364.99</v>
      </c>
      <c r="Z50" s="26">
        <f>X50+Y50</f>
        <v>1.0000000009313226E-2</v>
      </c>
    </row>
    <row r="51" spans="1:26" x14ac:dyDescent="0.25">
      <c r="B51" s="2"/>
      <c r="C51" s="2"/>
    </row>
    <row r="52" spans="1:26" ht="15.75" thickBot="1" x14ac:dyDescent="0.3">
      <c r="B52" s="2" t="s">
        <v>188</v>
      </c>
      <c r="C52" s="2"/>
      <c r="D52" s="17">
        <f>ROUND(D43+D50,2)</f>
        <v>0</v>
      </c>
      <c r="E52" s="17">
        <f>ROUND(E43+E50,2)</f>
        <v>274852.43</v>
      </c>
      <c r="F52" s="17">
        <f>D52+E52</f>
        <v>274852.43</v>
      </c>
      <c r="H52" s="17">
        <f>ROUND(H43+H50,2)</f>
        <v>3859.75</v>
      </c>
      <c r="I52" s="17">
        <f>ROUND(I43+I50,2)</f>
        <v>163158.54</v>
      </c>
      <c r="J52" s="17">
        <f>H52+I52</f>
        <v>167018.29</v>
      </c>
      <c r="L52" s="17">
        <f>ROUND(L43+L50,2)</f>
        <v>31727</v>
      </c>
      <c r="M52" s="17">
        <f>ROUND(M43+M50,2)</f>
        <v>4394.47</v>
      </c>
      <c r="N52" s="17">
        <f>L52+M52</f>
        <v>36121.47</v>
      </c>
      <c r="P52" s="17">
        <f>ROUND(P43+P50,2)</f>
        <v>178354.23</v>
      </c>
      <c r="Q52" s="17">
        <f>ROUND(Q43+Q50,2)</f>
        <v>392480.34</v>
      </c>
      <c r="R52" s="17">
        <f>P52+Q52</f>
        <v>570834.57000000007</v>
      </c>
      <c r="T52" s="17">
        <f>ROUND(T43+T50,2)</f>
        <v>0</v>
      </c>
      <c r="U52" s="17">
        <f>ROUND(U43+U50,2)</f>
        <v>0</v>
      </c>
      <c r="V52" s="17">
        <f>T52+U52</f>
        <v>0</v>
      </c>
      <c r="X52" s="17">
        <f>D52+H52+L52+P52+T52</f>
        <v>213940.98</v>
      </c>
      <c r="Y52" s="17">
        <f>E52+I52+M52+Q52+U52</f>
        <v>834885.78</v>
      </c>
      <c r="Z52" s="17">
        <f>X52+Y52</f>
        <v>1048826.76</v>
      </c>
    </row>
    <row r="53" spans="1:26" ht="15.75" thickTop="1" x14ac:dyDescent="0.25">
      <c r="B53" s="2"/>
      <c r="C53" s="2"/>
    </row>
    <row r="54" spans="1:26" x14ac:dyDescent="0.25">
      <c r="B54" s="2"/>
      <c r="C54" s="2"/>
    </row>
    <row r="55" spans="1:26" x14ac:dyDescent="0.25">
      <c r="A55" s="35" t="s">
        <v>54</v>
      </c>
      <c r="B55" s="35"/>
      <c r="C55" s="19"/>
    </row>
    <row r="57" spans="1:26" x14ac:dyDescent="0.25">
      <c r="B57" s="5" t="s">
        <v>189</v>
      </c>
      <c r="C57" s="5"/>
      <c r="T57" s="1"/>
    </row>
    <row r="58" spans="1:26" x14ac:dyDescent="0.25">
      <c r="B58" s="2" t="s">
        <v>732</v>
      </c>
      <c r="C58" s="2"/>
      <c r="D58" s="9">
        <v>0</v>
      </c>
      <c r="E58" s="9">
        <f>550000/10</f>
        <v>55000</v>
      </c>
      <c r="F58" s="8">
        <f>D58+E58</f>
        <v>55000</v>
      </c>
      <c r="H58" s="9">
        <v>0</v>
      </c>
      <c r="I58" s="9">
        <f>550000/10</f>
        <v>55000</v>
      </c>
      <c r="J58" s="8">
        <f>H58+I58</f>
        <v>55000</v>
      </c>
      <c r="L58" s="9">
        <v>0</v>
      </c>
      <c r="M58" s="9">
        <f>550000/10</f>
        <v>55000</v>
      </c>
      <c r="N58" s="8">
        <f>L58+M58</f>
        <v>55000</v>
      </c>
      <c r="P58" s="9">
        <v>0</v>
      </c>
      <c r="Q58" s="9">
        <f>550000-E58-I58-M58</f>
        <v>385000</v>
      </c>
      <c r="R58" s="8">
        <f>P58+Q58</f>
        <v>385000</v>
      </c>
      <c r="T58" s="1"/>
      <c r="U58" s="1"/>
      <c r="V58" s="1"/>
      <c r="X58" s="8">
        <f t="shared" ref="X58:Z61" si="23">D58+H58+L58+P58+T58</f>
        <v>0</v>
      </c>
      <c r="Y58" s="8">
        <f t="shared" si="23"/>
        <v>550000</v>
      </c>
      <c r="Z58" s="8">
        <f t="shared" si="23"/>
        <v>550000</v>
      </c>
    </row>
    <row r="59" spans="1:26" x14ac:dyDescent="0.25">
      <c r="B59" s="2" t="s">
        <v>225</v>
      </c>
      <c r="C59" s="2"/>
      <c r="D59" s="9">
        <v>0</v>
      </c>
      <c r="E59" s="9">
        <f>ROUND(550000*0.23/10,2)</f>
        <v>12650</v>
      </c>
      <c r="F59" s="8">
        <f>D59+E59</f>
        <v>12650</v>
      </c>
      <c r="H59" s="9">
        <v>0</v>
      </c>
      <c r="I59" s="9">
        <f>ROUND(550000*0.23/10,2)</f>
        <v>12650</v>
      </c>
      <c r="J59" s="8">
        <f>H59+I59</f>
        <v>12650</v>
      </c>
      <c r="L59" s="9">
        <v>0</v>
      </c>
      <c r="M59" s="9">
        <f>ROUND(550000*0.23/10,2)</f>
        <v>12650</v>
      </c>
      <c r="N59" s="8">
        <f>L59+M59</f>
        <v>12650</v>
      </c>
      <c r="P59" s="9">
        <v>0</v>
      </c>
      <c r="Q59" s="9">
        <f>550000*0.23-E59-I59-M59</f>
        <v>88550</v>
      </c>
      <c r="R59" s="8">
        <f>P59+Q59</f>
        <v>88550</v>
      </c>
      <c r="X59" s="8">
        <f t="shared" si="23"/>
        <v>0</v>
      </c>
      <c r="Y59" s="8">
        <f t="shared" si="23"/>
        <v>126500</v>
      </c>
      <c r="Z59" s="8">
        <f t="shared" si="23"/>
        <v>126500</v>
      </c>
    </row>
    <row r="60" spans="1:26" ht="15.75" thickBot="1" x14ac:dyDescent="0.3">
      <c r="B60" s="2" t="s">
        <v>190</v>
      </c>
      <c r="C60" s="2"/>
      <c r="D60" s="14">
        <v>0</v>
      </c>
      <c r="E60" s="14">
        <v>0</v>
      </c>
      <c r="F60" s="15">
        <f>D60+E60</f>
        <v>0</v>
      </c>
      <c r="H60" s="14">
        <v>0</v>
      </c>
      <c r="I60" s="14">
        <v>0</v>
      </c>
      <c r="J60" s="15">
        <f>H60+I60</f>
        <v>0</v>
      </c>
      <c r="L60" s="14">
        <v>0</v>
      </c>
      <c r="M60" s="14">
        <v>0</v>
      </c>
      <c r="N60" s="15">
        <f>L60+M60</f>
        <v>0</v>
      </c>
      <c r="P60" s="14">
        <v>0</v>
      </c>
      <c r="Q60" s="14">
        <v>0</v>
      </c>
      <c r="R60" s="15">
        <f>P60+Q60</f>
        <v>0</v>
      </c>
      <c r="X60" s="15">
        <f t="shared" si="23"/>
        <v>0</v>
      </c>
      <c r="Y60" s="15">
        <f t="shared" si="23"/>
        <v>0</v>
      </c>
      <c r="Z60" s="15">
        <f t="shared" si="23"/>
        <v>0</v>
      </c>
    </row>
    <row r="61" spans="1:26" x14ac:dyDescent="0.25">
      <c r="B61" s="2" t="s">
        <v>191</v>
      </c>
      <c r="C61" s="2"/>
      <c r="D61" s="26">
        <f>SUM(D58:D60)</f>
        <v>0</v>
      </c>
      <c r="E61" s="26">
        <f>SUM(E58:E60)</f>
        <v>67650</v>
      </c>
      <c r="F61" s="26">
        <f>D61+E61</f>
        <v>67650</v>
      </c>
      <c r="H61" s="26">
        <f>SUM(H58:H60)</f>
        <v>0</v>
      </c>
      <c r="I61" s="26">
        <f>SUM(I58:I60)</f>
        <v>67650</v>
      </c>
      <c r="J61" s="26">
        <f>H61+I61</f>
        <v>67650</v>
      </c>
      <c r="L61" s="26">
        <f>SUM(L58:L60)</f>
        <v>0</v>
      </c>
      <c r="M61" s="26">
        <f>SUM(M58:M60)</f>
        <v>67650</v>
      </c>
      <c r="N61" s="26">
        <f>L61+M61</f>
        <v>67650</v>
      </c>
      <c r="P61" s="26">
        <f>SUM(P58:P60)</f>
        <v>0</v>
      </c>
      <c r="Q61" s="26">
        <f>SUM(Q58:Q60)</f>
        <v>473550</v>
      </c>
      <c r="R61" s="26">
        <f>P61+Q61</f>
        <v>473550</v>
      </c>
      <c r="S61" s="1"/>
      <c r="T61" s="26">
        <f>SUM(T58:T60)</f>
        <v>0</v>
      </c>
      <c r="U61" s="26">
        <f>SUM(U58:U60)</f>
        <v>0</v>
      </c>
      <c r="V61" s="26">
        <f>T61+U61</f>
        <v>0</v>
      </c>
      <c r="X61" s="26">
        <f t="shared" si="23"/>
        <v>0</v>
      </c>
      <c r="Y61" s="26">
        <f t="shared" si="23"/>
        <v>676500</v>
      </c>
      <c r="Z61" s="26">
        <f t="shared" si="23"/>
        <v>676500</v>
      </c>
    </row>
    <row r="62" spans="1:26" x14ac:dyDescent="0.25">
      <c r="B62" s="2"/>
      <c r="C62" s="2"/>
    </row>
    <row r="63" spans="1:26" x14ac:dyDescent="0.25">
      <c r="B63" s="5" t="s">
        <v>192</v>
      </c>
      <c r="C63" s="5"/>
    </row>
    <row r="64" spans="1:26" x14ac:dyDescent="0.25">
      <c r="B64" s="2" t="s">
        <v>86</v>
      </c>
      <c r="C64" s="2"/>
      <c r="H64" s="1"/>
      <c r="I64" s="1"/>
      <c r="J64" s="1"/>
      <c r="L64" s="1"/>
      <c r="M64" s="1"/>
      <c r="P64" s="9">
        <v>0</v>
      </c>
      <c r="Q64" s="9">
        <v>-7500</v>
      </c>
      <c r="R64" s="8">
        <f>P64+Q64</f>
        <v>-7500</v>
      </c>
      <c r="T64" s="8">
        <f>-Q64</f>
        <v>7500</v>
      </c>
      <c r="U64" s="9">
        <v>0</v>
      </c>
      <c r="V64" s="8">
        <f>T64+U64</f>
        <v>7500</v>
      </c>
      <c r="X64" s="8">
        <f>D64+H64+L64+P64+T64</f>
        <v>7500</v>
      </c>
      <c r="Y64" s="8">
        <f>E64+I64+M64+Q64+U64</f>
        <v>-7500</v>
      </c>
      <c r="Z64" s="8">
        <f>F64+J64+N64+R64+V64</f>
        <v>0</v>
      </c>
    </row>
    <row r="65" spans="2:26" x14ac:dyDescent="0.25">
      <c r="B65" s="2" t="s">
        <v>195</v>
      </c>
      <c r="C65" s="6" t="s">
        <v>17</v>
      </c>
      <c r="L65" s="9">
        <v>90000</v>
      </c>
      <c r="M65" s="8">
        <f>-L65</f>
        <v>-90000</v>
      </c>
      <c r="N65" s="8">
        <f>L65+M65</f>
        <v>0</v>
      </c>
      <c r="P65" s="8">
        <f>486475-90000</f>
        <v>396475</v>
      </c>
      <c r="Q65" s="8">
        <f>-P65</f>
        <v>-396475</v>
      </c>
      <c r="R65" s="8">
        <f>P65+Q65</f>
        <v>0</v>
      </c>
      <c r="X65" s="8">
        <f t="shared" ref="X65" si="24">D65+H65+L65+P65+T65</f>
        <v>486475</v>
      </c>
      <c r="Y65" s="8">
        <f t="shared" ref="Y65" si="25">E65+I65+M65+Q65+U65</f>
        <v>-486475</v>
      </c>
      <c r="Z65" s="8">
        <f t="shared" ref="Z65" si="26">F65+J65+N65+R65+V65</f>
        <v>0</v>
      </c>
    </row>
    <row r="66" spans="2:26" x14ac:dyDescent="0.25">
      <c r="B66" s="2" t="s">
        <v>329</v>
      </c>
      <c r="C66" s="6" t="s">
        <v>358</v>
      </c>
      <c r="H66" s="9">
        <v>23000</v>
      </c>
      <c r="I66" s="8">
        <f>-H66</f>
        <v>-23000</v>
      </c>
      <c r="J66" s="8">
        <f>H66+I66</f>
        <v>0</v>
      </c>
      <c r="X66" s="8">
        <f t="shared" ref="X66:X70" si="27">D66+H66+L66+P66+T66</f>
        <v>23000</v>
      </c>
      <c r="Y66" s="8">
        <f t="shared" ref="Y66:Y70" si="28">E66+I66+M66+Q66+U66</f>
        <v>-23000</v>
      </c>
      <c r="Z66" s="8">
        <f t="shared" ref="Z66:Z70" si="29">F66+J66+N66+R66+V66</f>
        <v>0</v>
      </c>
    </row>
    <row r="67" spans="2:26" x14ac:dyDescent="0.25">
      <c r="B67" s="2" t="s">
        <v>249</v>
      </c>
      <c r="C67" s="6" t="s">
        <v>373</v>
      </c>
      <c r="L67" s="9">
        <v>9377</v>
      </c>
      <c r="M67" s="8">
        <f>-L67</f>
        <v>-9377</v>
      </c>
      <c r="N67" s="8">
        <f>L67+M67</f>
        <v>0</v>
      </c>
      <c r="P67" s="9">
        <v>90623</v>
      </c>
      <c r="Q67" s="8">
        <f>-P67</f>
        <v>-90623</v>
      </c>
      <c r="R67" s="8">
        <f>P67+Q67</f>
        <v>0</v>
      </c>
      <c r="X67" s="8">
        <f t="shared" si="27"/>
        <v>100000</v>
      </c>
      <c r="Y67" s="8">
        <f t="shared" si="28"/>
        <v>-100000</v>
      </c>
      <c r="Z67" s="8">
        <f t="shared" si="29"/>
        <v>0</v>
      </c>
    </row>
    <row r="68" spans="2:26" x14ac:dyDescent="0.25">
      <c r="B68" s="2" t="s">
        <v>276</v>
      </c>
      <c r="C68" s="6" t="s">
        <v>363</v>
      </c>
      <c r="P68" s="9">
        <v>109590</v>
      </c>
      <c r="Q68" s="8">
        <f>-P68</f>
        <v>-109590</v>
      </c>
      <c r="R68" s="8">
        <f>P68+Q68</f>
        <v>0</v>
      </c>
      <c r="X68" s="8">
        <f t="shared" si="27"/>
        <v>109590</v>
      </c>
      <c r="Y68" s="8">
        <f t="shared" si="28"/>
        <v>-109590</v>
      </c>
      <c r="Z68" s="8">
        <f t="shared" si="29"/>
        <v>0</v>
      </c>
    </row>
    <row r="69" spans="2:26" x14ac:dyDescent="0.25">
      <c r="B69" s="2" t="s">
        <v>300</v>
      </c>
      <c r="C69" s="6" t="s">
        <v>364</v>
      </c>
      <c r="P69" s="9">
        <v>47000</v>
      </c>
      <c r="Q69" s="8">
        <f>-P69</f>
        <v>-47000</v>
      </c>
      <c r="R69" s="8">
        <f>P69+Q69</f>
        <v>0</v>
      </c>
      <c r="X69" s="8">
        <f t="shared" si="27"/>
        <v>47000</v>
      </c>
      <c r="Y69" s="8">
        <f t="shared" si="28"/>
        <v>-47000</v>
      </c>
      <c r="Z69" s="8">
        <f t="shared" si="29"/>
        <v>0</v>
      </c>
    </row>
    <row r="70" spans="2:26" ht="15.75" thickBot="1" x14ac:dyDescent="0.3">
      <c r="B70" s="2" t="s">
        <v>303</v>
      </c>
      <c r="C70" s="6" t="s">
        <v>374</v>
      </c>
      <c r="D70" s="9">
        <v>47618</v>
      </c>
      <c r="E70" s="8">
        <f>-D70</f>
        <v>-47618</v>
      </c>
      <c r="F70" s="8">
        <f>D70+E70</f>
        <v>0</v>
      </c>
      <c r="X70" s="8">
        <f t="shared" si="27"/>
        <v>47618</v>
      </c>
      <c r="Y70" s="8">
        <f t="shared" si="28"/>
        <v>-47618</v>
      </c>
      <c r="Z70" s="8">
        <f t="shared" si="29"/>
        <v>0</v>
      </c>
    </row>
    <row r="71" spans="2:26" x14ac:dyDescent="0.25">
      <c r="B71" s="2" t="s">
        <v>193</v>
      </c>
      <c r="C71" s="2"/>
      <c r="D71" s="26">
        <f>SUM(D64:D70)</f>
        <v>47618</v>
      </c>
      <c r="E71" s="26">
        <f>SUM(E64:E70)</f>
        <v>-47618</v>
      </c>
      <c r="F71" s="26">
        <f>D71+E71</f>
        <v>0</v>
      </c>
      <c r="H71" s="26">
        <f>SUM(H64:H70)</f>
        <v>23000</v>
      </c>
      <c r="I71" s="26">
        <f>SUM(I64:I70)</f>
        <v>-23000</v>
      </c>
      <c r="J71" s="26">
        <f>H71+I71</f>
        <v>0</v>
      </c>
      <c r="L71" s="26">
        <f>SUM(L64:L70)</f>
        <v>99377</v>
      </c>
      <c r="M71" s="26">
        <f>SUM(M64:M70)</f>
        <v>-99377</v>
      </c>
      <c r="N71" s="26">
        <f>L71+M71</f>
        <v>0</v>
      </c>
      <c r="P71" s="26">
        <f>SUM(P64:P70)</f>
        <v>643688</v>
      </c>
      <c r="Q71" s="26">
        <f>SUM(Q64:Q70)</f>
        <v>-651188</v>
      </c>
      <c r="R71" s="26">
        <f>P71+Q71</f>
        <v>-7500</v>
      </c>
      <c r="S71" s="1"/>
      <c r="T71" s="26">
        <f>SUM(T64:T70)</f>
        <v>7500</v>
      </c>
      <c r="U71" s="26">
        <f>SUM(U64:U70)</f>
        <v>0</v>
      </c>
      <c r="V71" s="26">
        <f>T71+U71</f>
        <v>7500</v>
      </c>
      <c r="X71" s="26">
        <f>D71+H71+L71+P71+T71</f>
        <v>821183</v>
      </c>
      <c r="Y71" s="26">
        <f>E71+I71+M71+Q71+U71</f>
        <v>-821183</v>
      </c>
      <c r="Z71" s="26">
        <f>F71+J71+N71+R71+V71</f>
        <v>0</v>
      </c>
    </row>
    <row r="72" spans="2:26" x14ac:dyDescent="0.25">
      <c r="B72" s="2"/>
      <c r="C72" s="2"/>
    </row>
    <row r="73" spans="2:26" x14ac:dyDescent="0.25">
      <c r="B73" s="2" t="s">
        <v>194</v>
      </c>
      <c r="C73" s="2"/>
      <c r="D73" s="8">
        <f>D61+D71</f>
        <v>47618</v>
      </c>
      <c r="E73" s="8">
        <f>E61+E71</f>
        <v>20032</v>
      </c>
      <c r="F73" s="8">
        <f>D73+E73</f>
        <v>67650</v>
      </c>
      <c r="H73" s="8">
        <f>H61+H71</f>
        <v>23000</v>
      </c>
      <c r="I73" s="8">
        <f>I61+I71</f>
        <v>44650</v>
      </c>
      <c r="J73" s="8">
        <f>H73+I73</f>
        <v>67650</v>
      </c>
      <c r="L73" s="8">
        <f>L61+L71</f>
        <v>99377</v>
      </c>
      <c r="M73" s="8">
        <f>M61+M71</f>
        <v>-31727</v>
      </c>
      <c r="N73" s="8">
        <f>L73+M73</f>
        <v>67650</v>
      </c>
      <c r="P73" s="8">
        <f>P61+P71</f>
        <v>643688</v>
      </c>
      <c r="Q73" s="8">
        <f>Q61+Q71</f>
        <v>-177638</v>
      </c>
      <c r="R73" s="8">
        <f>P73+Q73</f>
        <v>466050</v>
      </c>
      <c r="T73" s="8">
        <f>T61+T71</f>
        <v>7500</v>
      </c>
      <c r="U73" s="8">
        <f>U61+U71</f>
        <v>0</v>
      </c>
      <c r="V73" s="8">
        <f>T73+U73</f>
        <v>7500</v>
      </c>
      <c r="X73" s="8">
        <f>D73+H73+L73+P73+T73</f>
        <v>821183</v>
      </c>
      <c r="Y73" s="8">
        <f>E73+I73+M73+Q73+U73</f>
        <v>-144683</v>
      </c>
      <c r="Z73" s="8">
        <f>F73+J73+N73+R73+V73</f>
        <v>676500</v>
      </c>
    </row>
    <row r="74" spans="2:26" x14ac:dyDescent="0.25">
      <c r="B74" s="2"/>
      <c r="C74" s="2"/>
    </row>
    <row r="76" spans="2:26" x14ac:dyDescent="0.25">
      <c r="D76" t="s">
        <v>72</v>
      </c>
    </row>
    <row r="77" spans="2:26" x14ac:dyDescent="0.25">
      <c r="D77" s="2"/>
    </row>
    <row r="78" spans="2:26" x14ac:dyDescent="0.25">
      <c r="D78" s="2" t="s">
        <v>58</v>
      </c>
      <c r="E78" t="s">
        <v>247</v>
      </c>
    </row>
    <row r="79" spans="2:26" x14ac:dyDescent="0.25">
      <c r="D79" s="2" t="s">
        <v>60</v>
      </c>
      <c r="E79" t="s">
        <v>278</v>
      </c>
    </row>
    <row r="80" spans="2:26" x14ac:dyDescent="0.25">
      <c r="E80" t="s">
        <v>248</v>
      </c>
    </row>
    <row r="83" spans="4:18" x14ac:dyDescent="0.25">
      <c r="D83" t="s">
        <v>209</v>
      </c>
    </row>
    <row r="85" spans="4:18" x14ac:dyDescent="0.25">
      <c r="D85" s="36" t="s">
        <v>3</v>
      </c>
      <c r="E85" s="36"/>
      <c r="F85" s="36"/>
      <c r="H85" s="36" t="s">
        <v>4</v>
      </c>
      <c r="I85" s="36"/>
      <c r="J85" s="36"/>
      <c r="L85" s="36" t="s">
        <v>2</v>
      </c>
      <c r="M85" s="36"/>
      <c r="N85" s="36"/>
      <c r="P85" s="36" t="s">
        <v>13</v>
      </c>
      <c r="Q85" s="36"/>
      <c r="R85" s="36"/>
    </row>
    <row r="86" spans="4:18" x14ac:dyDescent="0.25">
      <c r="D86" s="6"/>
      <c r="E86" s="6"/>
      <c r="F86" s="6"/>
      <c r="H86" s="6"/>
      <c r="I86" s="6"/>
      <c r="J86" s="6"/>
    </row>
    <row r="87" spans="4:18" x14ac:dyDescent="0.25">
      <c r="E87" s="6" t="s">
        <v>110</v>
      </c>
      <c r="F87" s="6" t="s">
        <v>111</v>
      </c>
      <c r="I87" s="6" t="s">
        <v>110</v>
      </c>
      <c r="J87" s="6" t="s">
        <v>111</v>
      </c>
      <c r="M87" s="6" t="s">
        <v>110</v>
      </c>
      <c r="N87" s="6" t="s">
        <v>111</v>
      </c>
      <c r="Q87" s="6" t="s">
        <v>110</v>
      </c>
      <c r="R87" s="6" t="s">
        <v>111</v>
      </c>
    </row>
    <row r="88" spans="4:18" x14ac:dyDescent="0.25">
      <c r="E88" s="6"/>
      <c r="F88" s="6"/>
    </row>
    <row r="89" spans="4:18" x14ac:dyDescent="0.25">
      <c r="E89" s="2" t="s">
        <v>480</v>
      </c>
      <c r="F89" s="11">
        <v>0</v>
      </c>
      <c r="I89" s="2" t="s">
        <v>138</v>
      </c>
      <c r="J89" s="9">
        <f>113312.35-59794.58</f>
        <v>53517.770000000004</v>
      </c>
      <c r="M89" s="2" t="s">
        <v>104</v>
      </c>
      <c r="N89" s="11">
        <v>0</v>
      </c>
      <c r="Q89" s="2" t="s">
        <v>217</v>
      </c>
      <c r="R89" s="9">
        <v>299587.5</v>
      </c>
    </row>
    <row r="90" spans="4:18" x14ac:dyDescent="0.25">
      <c r="E90" s="2" t="s">
        <v>113</v>
      </c>
      <c r="F90" s="13">
        <f>SUM(F89:F89)</f>
        <v>0</v>
      </c>
      <c r="I90" s="2" t="s">
        <v>213</v>
      </c>
      <c r="J90" s="9">
        <f>31627-20000</f>
        <v>11627</v>
      </c>
      <c r="M90" s="2" t="s">
        <v>113</v>
      </c>
      <c r="N90" s="13">
        <f>N89</f>
        <v>0</v>
      </c>
      <c r="Q90" s="2" t="s">
        <v>213</v>
      </c>
      <c r="R90" s="9">
        <f>193782-59887</f>
        <v>133895</v>
      </c>
    </row>
    <row r="91" spans="4:18" x14ac:dyDescent="0.25">
      <c r="I91" s="2" t="s">
        <v>113</v>
      </c>
      <c r="J91" s="13">
        <f>SUM(J89:J90)</f>
        <v>65144.770000000004</v>
      </c>
      <c r="Q91" s="2" t="s">
        <v>138</v>
      </c>
      <c r="R91" s="9">
        <f>17500-13602.47</f>
        <v>3897.5300000000007</v>
      </c>
    </row>
    <row r="92" spans="4:18" x14ac:dyDescent="0.25">
      <c r="Q92" s="2" t="s">
        <v>113</v>
      </c>
      <c r="R92" s="13">
        <f>SUM(R89:R91)</f>
        <v>437380.03</v>
      </c>
    </row>
    <row r="93" spans="4:18" x14ac:dyDescent="0.25">
      <c r="D93" s="6" t="s">
        <v>118</v>
      </c>
      <c r="F93" s="1"/>
      <c r="R93" s="1"/>
    </row>
    <row r="94" spans="4:18" x14ac:dyDescent="0.25">
      <c r="D94" s="2" t="s">
        <v>58</v>
      </c>
      <c r="E94" t="s">
        <v>733</v>
      </c>
    </row>
    <row r="95" spans="4:18" x14ac:dyDescent="0.25">
      <c r="D95" s="2" t="s">
        <v>60</v>
      </c>
      <c r="E95" t="s">
        <v>246</v>
      </c>
    </row>
    <row r="96" spans="4:18" x14ac:dyDescent="0.25">
      <c r="D96" s="2" t="s">
        <v>109</v>
      </c>
      <c r="E96" t="s">
        <v>245</v>
      </c>
    </row>
    <row r="97" spans="4:5" x14ac:dyDescent="0.25">
      <c r="D97" s="2" t="s">
        <v>119</v>
      </c>
      <c r="E97" t="s">
        <v>210</v>
      </c>
    </row>
    <row r="98" spans="4:5" x14ac:dyDescent="0.25">
      <c r="D98" s="2" t="s">
        <v>120</v>
      </c>
      <c r="E98" t="s">
        <v>243</v>
      </c>
    </row>
    <row r="100" spans="4:5" x14ac:dyDescent="0.25">
      <c r="D100" s="6" t="s">
        <v>251</v>
      </c>
    </row>
    <row r="101" spans="4:5" x14ac:dyDescent="0.25">
      <c r="D101" s="2" t="s">
        <v>58</v>
      </c>
      <c r="E101" t="s">
        <v>253</v>
      </c>
    </row>
    <row r="102" spans="4:5" x14ac:dyDescent="0.25">
      <c r="E102" t="s">
        <v>252</v>
      </c>
    </row>
    <row r="103" spans="4:5" x14ac:dyDescent="0.25">
      <c r="E103" t="s">
        <v>279</v>
      </c>
    </row>
  </sheetData>
  <mergeCells count="11">
    <mergeCell ref="X4:Z4"/>
    <mergeCell ref="D4:F4"/>
    <mergeCell ref="H4:J4"/>
    <mergeCell ref="L4:N4"/>
    <mergeCell ref="P4:R4"/>
    <mergeCell ref="T4:V4"/>
    <mergeCell ref="A55:B55"/>
    <mergeCell ref="D85:F85"/>
    <mergeCell ref="H85:J85"/>
    <mergeCell ref="L85:N85"/>
    <mergeCell ref="P85:R85"/>
  </mergeCells>
  <printOptions horizontalCentered="1"/>
  <pageMargins left="0.25" right="0.25" top="0.75" bottom="0.75" header="0.3" footer="0.3"/>
  <pageSetup paperSize="5" scale="62" fitToHeight="0" orientation="landscape" r:id="rId1"/>
  <headerFooter>
    <oddFooter>&amp;L&amp;F&amp;CPage &amp;P of &amp;N&amp;R22 July 2014</oddFooter>
  </headerFooter>
  <rowBreaks count="1" manualBreakCount="1">
    <brk id="54"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AB106"/>
  <sheetViews>
    <sheetView workbookViewId="0">
      <pane xSplit="2" ySplit="6" topLeftCell="C60" activePane="bottomRight" state="frozen"/>
      <selection activeCell="C9" sqref="C9"/>
      <selection pane="topRight" activeCell="C9" sqref="C9"/>
      <selection pane="bottomLeft" activeCell="C9" sqref="C9"/>
      <selection pane="bottomRight" activeCell="A78" sqref="A78"/>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85546875" bestFit="1" customWidth="1"/>
  </cols>
  <sheetData>
    <row r="1" spans="1:28" x14ac:dyDescent="0.25">
      <c r="A1" s="6"/>
    </row>
    <row r="2" spans="1:28" x14ac:dyDescent="0.25">
      <c r="D2" t="s">
        <v>606</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146</v>
      </c>
      <c r="C7" s="2"/>
      <c r="D7" s="8">
        <f>ROUND('FY12'!D60,2)</f>
        <v>7454.8</v>
      </c>
      <c r="E7" s="8">
        <f>ROUND('FY12'!E60,2)</f>
        <v>111839.18</v>
      </c>
      <c r="F7" s="8">
        <f>D7+E7</f>
        <v>119293.98</v>
      </c>
      <c r="H7" s="8">
        <f>ROUND('FY12'!H60,2)</f>
        <v>113312.35</v>
      </c>
      <c r="I7" s="8">
        <f>ROUND('FY12'!I60,2)</f>
        <v>22933.3</v>
      </c>
      <c r="J7" s="8">
        <f>H7+I7</f>
        <v>136245.65</v>
      </c>
      <c r="L7" s="8">
        <f>ROUND('FY12'!L60,2)</f>
        <v>5440</v>
      </c>
      <c r="M7" s="8">
        <f>ROUND('FY12'!M60,2)</f>
        <v>4829.2299999999996</v>
      </c>
      <c r="N7" s="8">
        <f>L7+M7</f>
        <v>10269.23</v>
      </c>
      <c r="P7" s="8">
        <f>ROUND('FY12'!P60,2)</f>
        <v>110941.37</v>
      </c>
      <c r="Q7" s="8">
        <f>ROUND('FY12'!Q60,2)</f>
        <v>454478.78</v>
      </c>
      <c r="R7" s="8">
        <f>P7+Q7</f>
        <v>565420.15</v>
      </c>
      <c r="T7" s="8">
        <f>ROUND('FY12'!T60,2)</f>
        <v>0</v>
      </c>
      <c r="U7" s="8">
        <f>ROUND('FY12'!U60,2)</f>
        <v>0</v>
      </c>
      <c r="V7" s="8">
        <f>T7+U7</f>
        <v>0</v>
      </c>
      <c r="X7" s="8">
        <f>D7+H7+L7+P7+T7</f>
        <v>237148.52000000002</v>
      </c>
      <c r="Y7" s="8">
        <f>E7+I7+M7+Q7+U7</f>
        <v>594080.49</v>
      </c>
      <c r="Z7" s="8">
        <f>F7+J7+N7+R7+V7</f>
        <v>831229.01</v>
      </c>
    </row>
    <row r="9" spans="1:28" x14ac:dyDescent="0.25">
      <c r="B9" s="5" t="s">
        <v>11</v>
      </c>
      <c r="C9" s="5"/>
      <c r="T9" s="1"/>
      <c r="U9" s="1"/>
      <c r="V9" s="1"/>
      <c r="X9" s="8">
        <f t="shared" ref="X9:Z15" si="0">D9+H9+L9+P9+T9</f>
        <v>0</v>
      </c>
      <c r="Y9" s="8">
        <f t="shared" si="0"/>
        <v>0</v>
      </c>
      <c r="Z9" s="8">
        <f t="shared" si="0"/>
        <v>0</v>
      </c>
    </row>
    <row r="10" spans="1:28" x14ac:dyDescent="0.25">
      <c r="B10" s="2" t="s">
        <v>734</v>
      </c>
      <c r="C10" s="2"/>
      <c r="D10" s="9">
        <v>0</v>
      </c>
      <c r="E10" s="9">
        <f>ROUND(549411.56/10,2)</f>
        <v>54941.16</v>
      </c>
      <c r="F10" s="8">
        <f>D10+E10</f>
        <v>54941.16</v>
      </c>
      <c r="H10" s="9">
        <v>0</v>
      </c>
      <c r="I10" s="9">
        <f>ROUND(549411.56/10,2)</f>
        <v>54941.16</v>
      </c>
      <c r="J10" s="8">
        <f>H10+I10</f>
        <v>54941.16</v>
      </c>
      <c r="L10" s="9">
        <v>0</v>
      </c>
      <c r="M10" s="9">
        <f>ROUND(549411.56/10,2)</f>
        <v>54941.16</v>
      </c>
      <c r="N10" s="8">
        <f>L10+M10</f>
        <v>54941.16</v>
      </c>
      <c r="P10" s="9">
        <v>0</v>
      </c>
      <c r="Q10" s="9">
        <f>549411.56-E10-I10-M10</f>
        <v>384588.07999999996</v>
      </c>
      <c r="R10" s="8">
        <f>P10+Q10</f>
        <v>384588.07999999996</v>
      </c>
      <c r="T10" s="1"/>
      <c r="U10" s="1"/>
      <c r="V10" s="1"/>
      <c r="X10" s="8">
        <f t="shared" si="0"/>
        <v>0</v>
      </c>
      <c r="Y10" s="8">
        <f t="shared" si="0"/>
        <v>549411.55999999994</v>
      </c>
      <c r="Z10" s="8">
        <f t="shared" si="0"/>
        <v>549411.55999999994</v>
      </c>
    </row>
    <row r="11" spans="1:28" x14ac:dyDescent="0.25">
      <c r="B11" s="2" t="s">
        <v>5</v>
      </c>
      <c r="C11" s="2"/>
      <c r="D11" s="9">
        <v>0</v>
      </c>
      <c r="E11" s="9">
        <f>ROUND(1650.96/10,2)</f>
        <v>165.1</v>
      </c>
      <c r="F11" s="8">
        <f>D11+E11</f>
        <v>165.1</v>
      </c>
      <c r="H11" s="9">
        <v>0</v>
      </c>
      <c r="I11" s="9">
        <f>ROUND(1650.96/10,2)</f>
        <v>165.1</v>
      </c>
      <c r="J11" s="8">
        <f>H11+I11</f>
        <v>165.1</v>
      </c>
      <c r="L11" s="9">
        <v>0</v>
      </c>
      <c r="M11" s="9">
        <f>ROUND(1650.96/10,2)</f>
        <v>165.1</v>
      </c>
      <c r="N11" s="8">
        <f>L11+M11</f>
        <v>165.1</v>
      </c>
      <c r="P11" s="9">
        <v>0</v>
      </c>
      <c r="Q11" s="9">
        <f>1650.96-E11-I11-M11</f>
        <v>1155.6600000000003</v>
      </c>
      <c r="R11" s="8">
        <f>P11+Q11</f>
        <v>1155.6600000000003</v>
      </c>
      <c r="T11" s="1"/>
      <c r="U11" s="1"/>
      <c r="V11" s="1"/>
      <c r="X11" s="8">
        <f t="shared" si="0"/>
        <v>0</v>
      </c>
      <c r="Y11" s="8">
        <f t="shared" si="0"/>
        <v>1650.9600000000003</v>
      </c>
      <c r="Z11" s="8">
        <f t="shared" si="0"/>
        <v>1650.9600000000003</v>
      </c>
      <c r="AB11" s="1"/>
    </row>
    <row r="12" spans="1:28" x14ac:dyDescent="0.25">
      <c r="B12" s="2" t="s">
        <v>135</v>
      </c>
      <c r="C12" s="2"/>
      <c r="D12" s="9">
        <v>0</v>
      </c>
      <c r="E12" s="9">
        <f>201065/10</f>
        <v>20106.5</v>
      </c>
      <c r="F12" s="8">
        <f>D12+E12</f>
        <v>20106.5</v>
      </c>
      <c r="H12" s="9">
        <v>0</v>
      </c>
      <c r="I12" s="9">
        <f>201065/10</f>
        <v>20106.5</v>
      </c>
      <c r="J12" s="8">
        <f>H12+I12</f>
        <v>20106.5</v>
      </c>
      <c r="L12" s="9">
        <v>0</v>
      </c>
      <c r="M12" s="9">
        <f>201065/10</f>
        <v>20106.5</v>
      </c>
      <c r="N12" s="8">
        <f>L12+M12</f>
        <v>20106.5</v>
      </c>
      <c r="P12" s="9">
        <v>0</v>
      </c>
      <c r="Q12" s="9">
        <f>201065-E12-I12-M12</f>
        <v>140745.5</v>
      </c>
      <c r="R12" s="8">
        <f>P12+Q12</f>
        <v>140745.5</v>
      </c>
      <c r="T12" s="1"/>
      <c r="U12" s="1"/>
      <c r="V12" s="1"/>
      <c r="X12" s="8">
        <f t="shared" si="0"/>
        <v>0</v>
      </c>
      <c r="Y12" s="8">
        <f t="shared" si="0"/>
        <v>201065</v>
      </c>
      <c r="Z12" s="8">
        <f t="shared" si="0"/>
        <v>201065</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147</v>
      </c>
      <c r="C14" s="2"/>
      <c r="D14" s="9">
        <v>0</v>
      </c>
      <c r="E14" s="9">
        <f>ROUND(1058.32/10,2)</f>
        <v>105.83</v>
      </c>
      <c r="F14" s="15">
        <f>D14+E14</f>
        <v>105.83</v>
      </c>
      <c r="H14" s="14">
        <v>0</v>
      </c>
      <c r="I14" s="9">
        <f>ROUND(1058.32/10,2)</f>
        <v>105.83</v>
      </c>
      <c r="J14" s="15">
        <f>H14+I14</f>
        <v>105.83</v>
      </c>
      <c r="L14" s="14">
        <v>0</v>
      </c>
      <c r="M14" s="9">
        <f>ROUND(1058.32/10,2)</f>
        <v>105.83</v>
      </c>
      <c r="N14" s="15">
        <f>L14+M14</f>
        <v>105.83</v>
      </c>
      <c r="P14" s="14">
        <v>0</v>
      </c>
      <c r="Q14" s="9">
        <f>1058.32-E14-I14-M14</f>
        <v>740.82999999999981</v>
      </c>
      <c r="R14" s="15">
        <f>P14+Q14</f>
        <v>740.82999999999981</v>
      </c>
      <c r="T14" s="1"/>
      <c r="U14" s="1"/>
      <c r="V14" s="1"/>
      <c r="X14" s="15">
        <f t="shared" si="0"/>
        <v>0</v>
      </c>
      <c r="Y14" s="15">
        <f t="shared" si="0"/>
        <v>1058.3199999999997</v>
      </c>
      <c r="Z14" s="15">
        <f t="shared" si="0"/>
        <v>1058.3199999999997</v>
      </c>
    </row>
    <row r="15" spans="1:28" x14ac:dyDescent="0.25">
      <c r="B15" s="2" t="s">
        <v>28</v>
      </c>
      <c r="C15" s="2"/>
      <c r="D15" s="26">
        <f>SUM(D10:D14)</f>
        <v>0</v>
      </c>
      <c r="E15" s="26">
        <f>SUM(E10:E14)</f>
        <v>75318.590000000011</v>
      </c>
      <c r="F15" s="26">
        <f>D15+E15</f>
        <v>75318.590000000011</v>
      </c>
      <c r="H15" s="26">
        <f>SUM(H10:H14)</f>
        <v>0</v>
      </c>
      <c r="I15" s="26">
        <f>SUM(I10:I14)</f>
        <v>75318.590000000011</v>
      </c>
      <c r="J15" s="26">
        <f>H15+I15</f>
        <v>75318.590000000011</v>
      </c>
      <c r="L15" s="26">
        <f>SUM(L10:L14)</f>
        <v>0</v>
      </c>
      <c r="M15" s="26">
        <f>SUM(M10:M14)</f>
        <v>75318.590000000011</v>
      </c>
      <c r="N15" s="26">
        <f>L15+M15</f>
        <v>75318.590000000011</v>
      </c>
      <c r="P15" s="26">
        <f>SUM(P10:P14)</f>
        <v>0</v>
      </c>
      <c r="Q15" s="26">
        <f>SUM(Q10:Q14)</f>
        <v>527230.06999999995</v>
      </c>
      <c r="R15" s="26">
        <f>P15+Q15</f>
        <v>527230.06999999995</v>
      </c>
      <c r="S15" s="1"/>
      <c r="T15" s="26">
        <f>SUM(T10:T14)</f>
        <v>0</v>
      </c>
      <c r="U15" s="26">
        <f>SUM(U10:U14)</f>
        <v>0</v>
      </c>
      <c r="V15" s="26">
        <f>T15+U15</f>
        <v>0</v>
      </c>
      <c r="X15" s="26">
        <f t="shared" si="0"/>
        <v>0</v>
      </c>
      <c r="Y15" s="26">
        <f t="shared" si="0"/>
        <v>753185.84</v>
      </c>
      <c r="Z15" s="26">
        <f t="shared" si="0"/>
        <v>753185.84</v>
      </c>
    </row>
    <row r="17" spans="2:26" x14ac:dyDescent="0.25">
      <c r="B17" s="5" t="s">
        <v>158</v>
      </c>
      <c r="C17" s="5"/>
      <c r="D17" s="1"/>
      <c r="E17" s="1"/>
      <c r="F17" s="1"/>
      <c r="H17" s="1"/>
      <c r="I17" s="1"/>
      <c r="J17" s="1"/>
      <c r="L17" s="1"/>
      <c r="M17" s="1"/>
      <c r="N17" s="1"/>
      <c r="P17" s="1"/>
      <c r="Q17" s="1"/>
      <c r="R17" s="1"/>
      <c r="T17" s="1"/>
      <c r="U17" s="1"/>
      <c r="V17" s="1"/>
    </row>
    <row r="18" spans="2:26" x14ac:dyDescent="0.25">
      <c r="B18" s="2" t="s">
        <v>169</v>
      </c>
      <c r="C18" s="2"/>
      <c r="H18" s="1"/>
      <c r="I18" s="1"/>
      <c r="J18" s="1"/>
      <c r="L18" s="1"/>
      <c r="M18" s="1"/>
      <c r="P18" s="15">
        <v>0</v>
      </c>
      <c r="Q18" s="15">
        <f>-T18</f>
        <v>-27231.19</v>
      </c>
      <c r="R18" s="15">
        <f>P18+Q18</f>
        <v>-27231.19</v>
      </c>
      <c r="T18" s="9">
        <f>ROUND(22.18*7*52.2 * 1.03,2) + ROUND(22.44*19*43 * 1.03,2)</f>
        <v>27231.19</v>
      </c>
      <c r="U18" s="9">
        <v>0</v>
      </c>
      <c r="V18" s="8">
        <f>T18+U18</f>
        <v>27231.19</v>
      </c>
      <c r="X18" s="8">
        <f t="shared" ref="X18:Z22" si="8">D18+H18+L18+P18+T18</f>
        <v>27231.19</v>
      </c>
      <c r="Y18" s="8">
        <f t="shared" si="8"/>
        <v>-27231.19</v>
      </c>
      <c r="Z18" s="8">
        <f t="shared" si="8"/>
        <v>0</v>
      </c>
    </row>
    <row r="19" spans="2:26" x14ac:dyDescent="0.25">
      <c r="B19" s="2" t="s">
        <v>79</v>
      </c>
      <c r="C19" s="2"/>
      <c r="H19" s="1"/>
      <c r="I19" s="1"/>
      <c r="J19" s="1"/>
      <c r="L19" s="1"/>
      <c r="M19" s="1"/>
      <c r="P19" s="15">
        <v>0</v>
      </c>
      <c r="Q19" s="15">
        <f>-T19</f>
        <v>-7568.81</v>
      </c>
      <c r="R19" s="15">
        <f>P19+Q19</f>
        <v>-7568.81</v>
      </c>
      <c r="T19" s="9">
        <f>2500 + 5000 + 68.81</f>
        <v>7568.81</v>
      </c>
      <c r="U19" s="9">
        <v>0</v>
      </c>
      <c r="V19" s="8">
        <f>T19+U19</f>
        <v>7568.81</v>
      </c>
      <c r="X19" s="8">
        <f t="shared" ref="X19:Z21" si="9">D19+H19+L19+P19+T19</f>
        <v>7568.81</v>
      </c>
      <c r="Y19" s="8">
        <f t="shared" si="9"/>
        <v>-7568.81</v>
      </c>
      <c r="Z19" s="8">
        <f t="shared" si="9"/>
        <v>0</v>
      </c>
    </row>
    <row r="20" spans="2:26" x14ac:dyDescent="0.25">
      <c r="B20" s="2" t="s">
        <v>104</v>
      </c>
      <c r="C20" s="6" t="s">
        <v>17</v>
      </c>
      <c r="L20" s="9">
        <f>70000-5440</f>
        <v>64560</v>
      </c>
      <c r="M20" s="8">
        <f>-L20</f>
        <v>-64560</v>
      </c>
      <c r="N20" s="8">
        <f>L20+M20</f>
        <v>0</v>
      </c>
      <c r="P20" s="14">
        <f>487887.5-70000-73247.5</f>
        <v>344640</v>
      </c>
      <c r="Q20" s="8">
        <f>-P20</f>
        <v>-344640</v>
      </c>
      <c r="R20" s="15">
        <f>P20+Q20</f>
        <v>0</v>
      </c>
      <c r="X20" s="8">
        <f t="shared" si="9"/>
        <v>409200</v>
      </c>
      <c r="Y20" s="8">
        <f t="shared" si="9"/>
        <v>-409200</v>
      </c>
      <c r="Z20" s="8">
        <f t="shared" si="9"/>
        <v>0</v>
      </c>
    </row>
    <row r="21" spans="2:26" ht="15.75" thickBot="1" x14ac:dyDescent="0.3">
      <c r="B21" s="2" t="s">
        <v>595</v>
      </c>
      <c r="C21" s="6" t="s">
        <v>197</v>
      </c>
      <c r="H21" s="1"/>
      <c r="I21" s="1"/>
      <c r="J21" s="1"/>
      <c r="L21" s="1"/>
      <c r="M21" s="1"/>
      <c r="N21" s="1"/>
      <c r="P21" s="9">
        <v>75000</v>
      </c>
      <c r="Q21" s="8">
        <f>-P21</f>
        <v>-75000</v>
      </c>
      <c r="R21" s="15">
        <f>P21+Q21</f>
        <v>0</v>
      </c>
      <c r="T21" s="1"/>
      <c r="X21" s="8">
        <f t="shared" si="9"/>
        <v>75000</v>
      </c>
      <c r="Y21" s="8">
        <f t="shared" si="9"/>
        <v>-75000</v>
      </c>
      <c r="Z21" s="8">
        <f t="shared" si="9"/>
        <v>0</v>
      </c>
    </row>
    <row r="22" spans="2:26" x14ac:dyDescent="0.25">
      <c r="B22" s="2" t="s">
        <v>148</v>
      </c>
      <c r="C22" s="2"/>
      <c r="D22" s="26">
        <f>SUM(D18:D21)</f>
        <v>0</v>
      </c>
      <c r="E22" s="26">
        <f>SUM(E18:E21)</f>
        <v>0</v>
      </c>
      <c r="F22" s="26">
        <f>D22+E22</f>
        <v>0</v>
      </c>
      <c r="H22" s="26">
        <f>SUM(H18:H21)</f>
        <v>0</v>
      </c>
      <c r="I22" s="26">
        <f>SUM(I18:I21)</f>
        <v>0</v>
      </c>
      <c r="J22" s="26">
        <f>H22+I22</f>
        <v>0</v>
      </c>
      <c r="L22" s="26">
        <f>SUM(L18:L21)</f>
        <v>64560</v>
      </c>
      <c r="M22" s="26">
        <f>SUM(M18:M21)</f>
        <v>-64560</v>
      </c>
      <c r="N22" s="26">
        <f>L22+M22</f>
        <v>0</v>
      </c>
      <c r="P22" s="26">
        <f>SUM(P18:P21)</f>
        <v>419640</v>
      </c>
      <c r="Q22" s="26">
        <f>SUM(Q18:Q21)</f>
        <v>-454440</v>
      </c>
      <c r="R22" s="26">
        <f>P22+Q22</f>
        <v>-34800</v>
      </c>
      <c r="S22" s="1"/>
      <c r="T22" s="26">
        <f>SUM(T18:T21)</f>
        <v>34800</v>
      </c>
      <c r="U22" s="26">
        <f>SUM(U18:U21)</f>
        <v>0</v>
      </c>
      <c r="V22" s="26">
        <f>T22+U22</f>
        <v>34800</v>
      </c>
      <c r="X22" s="26">
        <f t="shared" si="8"/>
        <v>519000</v>
      </c>
      <c r="Y22" s="26">
        <f t="shared" si="8"/>
        <v>-519000</v>
      </c>
      <c r="Z22" s="26">
        <f t="shared" si="8"/>
        <v>0</v>
      </c>
    </row>
    <row r="23" spans="2:26" x14ac:dyDescent="0.25">
      <c r="H23" s="1"/>
      <c r="I23" s="1"/>
      <c r="J23" s="1"/>
      <c r="L23" s="1"/>
      <c r="M23" s="1"/>
      <c r="N23" s="1"/>
      <c r="P23" s="1"/>
      <c r="Q23" s="1"/>
      <c r="R23" s="1"/>
      <c r="T23" s="1"/>
    </row>
    <row r="24" spans="2:26" x14ac:dyDescent="0.25">
      <c r="B24" s="5" t="s">
        <v>206</v>
      </c>
      <c r="C24" s="5"/>
      <c r="H24" s="1"/>
      <c r="I24" s="1"/>
      <c r="J24" s="1"/>
      <c r="L24" s="1"/>
      <c r="M24" s="1"/>
      <c r="N24" s="1"/>
      <c r="P24" s="1"/>
      <c r="Q24" s="1"/>
      <c r="R24" s="1"/>
    </row>
    <row r="25" spans="2:26" x14ac:dyDescent="0.25">
      <c r="B25" s="2" t="s">
        <v>7</v>
      </c>
      <c r="C25" s="2"/>
      <c r="H25" s="1"/>
      <c r="I25" s="1"/>
      <c r="J25" s="1"/>
      <c r="L25" s="1"/>
      <c r="M25" s="1"/>
      <c r="N25" s="1"/>
      <c r="P25" s="15">
        <v>0</v>
      </c>
      <c r="Q25" s="15">
        <f>-T25</f>
        <v>-1317.45</v>
      </c>
      <c r="R25" s="15">
        <f>P25+Q25</f>
        <v>-1317.45</v>
      </c>
      <c r="T25" s="9">
        <f>ROUND(22.44*19*3 * 1.03,2)</f>
        <v>1317.45</v>
      </c>
      <c r="U25" s="9">
        <v>0</v>
      </c>
      <c r="V25" s="8">
        <f>T25+U25</f>
        <v>1317.45</v>
      </c>
      <c r="X25" s="8">
        <f t="shared" ref="X25:Z28" si="10">D25+H25+L25+P25+T25</f>
        <v>1317.45</v>
      </c>
      <c r="Y25" s="8">
        <f t="shared" si="10"/>
        <v>-1317.45</v>
      </c>
      <c r="Z25" s="8">
        <f t="shared" si="10"/>
        <v>0</v>
      </c>
    </row>
    <row r="26" spans="2:26" x14ac:dyDescent="0.25">
      <c r="B26" s="2" t="s">
        <v>52</v>
      </c>
      <c r="C26" s="2"/>
      <c r="H26" s="1"/>
      <c r="I26" s="1"/>
      <c r="J26" s="1"/>
      <c r="L26" s="1"/>
      <c r="M26" s="1"/>
      <c r="N26" s="1"/>
      <c r="P26" s="15">
        <v>0</v>
      </c>
      <c r="Q26" s="15">
        <f>-T26</f>
        <v>-132.55000000000001</v>
      </c>
      <c r="R26" s="15">
        <f>P26+Q26</f>
        <v>-132.55000000000001</v>
      </c>
      <c r="T26" s="9">
        <v>132.55000000000001</v>
      </c>
      <c r="U26" s="9">
        <v>0</v>
      </c>
      <c r="V26" s="8">
        <f>T26+U26</f>
        <v>132.55000000000001</v>
      </c>
      <c r="X26" s="8">
        <f t="shared" si="10"/>
        <v>132.55000000000001</v>
      </c>
      <c r="Y26" s="8">
        <f t="shared" si="10"/>
        <v>-132.55000000000001</v>
      </c>
      <c r="Z26" s="8">
        <f t="shared" si="10"/>
        <v>0</v>
      </c>
    </row>
    <row r="27" spans="2:26" ht="15.75" thickBot="1" x14ac:dyDescent="0.3">
      <c r="B27" s="2" t="s">
        <v>598</v>
      </c>
      <c r="C27" s="6" t="s">
        <v>472</v>
      </c>
      <c r="H27" s="1"/>
      <c r="I27" s="1"/>
      <c r="J27" s="1"/>
      <c r="L27" s="14">
        <v>10000</v>
      </c>
      <c r="M27" s="8">
        <f>-L27</f>
        <v>-10000</v>
      </c>
      <c r="N27" s="15">
        <f>L27+M27</f>
        <v>0</v>
      </c>
      <c r="P27" s="9">
        <v>15000</v>
      </c>
      <c r="Q27" s="8">
        <f>-P27</f>
        <v>-15000</v>
      </c>
      <c r="R27" s="15">
        <f>P27+Q27</f>
        <v>0</v>
      </c>
      <c r="X27" s="8">
        <f t="shared" si="10"/>
        <v>25000</v>
      </c>
      <c r="Y27" s="8">
        <f t="shared" si="10"/>
        <v>-25000</v>
      </c>
      <c r="Z27" s="8">
        <f t="shared" si="10"/>
        <v>0</v>
      </c>
    </row>
    <row r="28" spans="2:26" x14ac:dyDescent="0.25">
      <c r="B28" s="2" t="s">
        <v>148</v>
      </c>
      <c r="C28" s="2"/>
      <c r="D28" s="26">
        <f>SUM(D25:D27)</f>
        <v>0</v>
      </c>
      <c r="E28" s="26">
        <f>SUM(E25:E27)</f>
        <v>0</v>
      </c>
      <c r="F28" s="26">
        <f>D28+E28</f>
        <v>0</v>
      </c>
      <c r="H28" s="26">
        <f>SUM(H25:H27)</f>
        <v>0</v>
      </c>
      <c r="I28" s="26">
        <f>SUM(I25:I27)</f>
        <v>0</v>
      </c>
      <c r="J28" s="26">
        <f>H28+I28</f>
        <v>0</v>
      </c>
      <c r="L28" s="26">
        <f>SUM(L25:L27)</f>
        <v>10000</v>
      </c>
      <c r="M28" s="26">
        <f>SUM(M25:M27)</f>
        <v>-10000</v>
      </c>
      <c r="N28" s="26">
        <f>L28+M28</f>
        <v>0</v>
      </c>
      <c r="P28" s="26">
        <f>SUM(P25:P27)</f>
        <v>15000</v>
      </c>
      <c r="Q28" s="26">
        <f>SUM(Q25:Q27)</f>
        <v>-16450</v>
      </c>
      <c r="R28" s="26">
        <f>P28+Q28</f>
        <v>-1450</v>
      </c>
      <c r="S28" s="1"/>
      <c r="T28" s="26">
        <f>SUM(T25:T27)</f>
        <v>1450</v>
      </c>
      <c r="U28" s="26">
        <f>SUM(U25:U27)</f>
        <v>0</v>
      </c>
      <c r="V28" s="26">
        <f>T28+U28</f>
        <v>1450</v>
      </c>
      <c r="X28" s="26">
        <f t="shared" si="10"/>
        <v>26450</v>
      </c>
      <c r="Y28" s="26">
        <f t="shared" si="10"/>
        <v>-26450</v>
      </c>
      <c r="Z28" s="26">
        <f t="shared" si="10"/>
        <v>0</v>
      </c>
    </row>
    <row r="30" spans="2:26" x14ac:dyDescent="0.25">
      <c r="B30" s="5" t="s">
        <v>211</v>
      </c>
      <c r="C30" s="5"/>
    </row>
    <row r="31" spans="2:26" ht="15.75" thickBot="1" x14ac:dyDescent="0.3">
      <c r="B31" s="2" t="s">
        <v>213</v>
      </c>
      <c r="C31" s="6" t="s">
        <v>214</v>
      </c>
      <c r="H31" s="14">
        <v>31627</v>
      </c>
      <c r="I31" s="8">
        <f>-H31</f>
        <v>-31627</v>
      </c>
      <c r="J31" s="15">
        <f>H31+I31</f>
        <v>0</v>
      </c>
      <c r="P31" s="14">
        <v>193782</v>
      </c>
      <c r="Q31" s="8">
        <f>-P31</f>
        <v>-193782</v>
      </c>
      <c r="R31" s="15">
        <f>P31+Q31</f>
        <v>0</v>
      </c>
      <c r="X31" s="8">
        <f t="shared" ref="X31:Z32" si="11">D31+H31+L31+P31+T31</f>
        <v>225409</v>
      </c>
      <c r="Y31" s="8">
        <f t="shared" si="11"/>
        <v>-225409</v>
      </c>
      <c r="Z31" s="8">
        <f t="shared" si="11"/>
        <v>0</v>
      </c>
    </row>
    <row r="32" spans="2:26" x14ac:dyDescent="0.25">
      <c r="B32" s="2" t="s">
        <v>212</v>
      </c>
      <c r="C32" s="2"/>
      <c r="D32" s="26">
        <f>SUM(D31:D31)</f>
        <v>0</v>
      </c>
      <c r="E32" s="26">
        <f>SUM(E31:E31)</f>
        <v>0</v>
      </c>
      <c r="F32" s="26">
        <f>D32+E32</f>
        <v>0</v>
      </c>
      <c r="H32" s="26">
        <f>SUM(H31:H31)</f>
        <v>31627</v>
      </c>
      <c r="I32" s="26">
        <f>SUM(I31:I31)</f>
        <v>-31627</v>
      </c>
      <c r="J32" s="26">
        <f>H32+I32</f>
        <v>0</v>
      </c>
      <c r="L32" s="26">
        <f>SUM(L31:L31)</f>
        <v>0</v>
      </c>
      <c r="M32" s="26">
        <f>SUM(M31:M31)</f>
        <v>0</v>
      </c>
      <c r="N32" s="26">
        <f>L32+M32</f>
        <v>0</v>
      </c>
      <c r="P32" s="26">
        <f>SUM(P31:P31)</f>
        <v>193782</v>
      </c>
      <c r="Q32" s="26">
        <f>SUM(Q31:Q31)</f>
        <v>-193782</v>
      </c>
      <c r="R32" s="26">
        <f>P32+Q32</f>
        <v>0</v>
      </c>
      <c r="S32" s="1"/>
      <c r="T32" s="26">
        <f>SUM(T31:T31)</f>
        <v>0</v>
      </c>
      <c r="U32" s="26">
        <f>SUM(U31:U31)</f>
        <v>0</v>
      </c>
      <c r="V32" s="26">
        <f>T32+U32</f>
        <v>0</v>
      </c>
      <c r="X32" s="26">
        <f t="shared" si="11"/>
        <v>225409</v>
      </c>
      <c r="Y32" s="26">
        <f t="shared" si="11"/>
        <v>-225409</v>
      </c>
      <c r="Z32" s="26">
        <f t="shared" si="11"/>
        <v>0</v>
      </c>
    </row>
    <row r="34" spans="2:26" x14ac:dyDescent="0.25">
      <c r="B34" s="5" t="s">
        <v>8</v>
      </c>
      <c r="C34" s="5"/>
      <c r="H34" s="1"/>
      <c r="I34" s="1"/>
      <c r="J34" s="1"/>
      <c r="L34" s="1"/>
      <c r="M34" s="1"/>
      <c r="N34" s="1"/>
      <c r="P34" s="1"/>
      <c r="T34" s="1"/>
    </row>
    <row r="35" spans="2:26" x14ac:dyDescent="0.25">
      <c r="B35" s="2" t="s">
        <v>7</v>
      </c>
      <c r="C35" s="2"/>
      <c r="D35" s="1"/>
      <c r="E35" s="1"/>
      <c r="F35" s="1"/>
      <c r="H35" s="1"/>
      <c r="I35" s="1"/>
      <c r="J35" s="1"/>
      <c r="T35" s="9">
        <v>-26890.7</v>
      </c>
      <c r="U35" s="9">
        <v>0</v>
      </c>
      <c r="V35" s="8">
        <f>T35+U35</f>
        <v>-26890.7</v>
      </c>
      <c r="X35" s="8">
        <f t="shared" ref="X35:Y42" si="12">D35+H35+L35+P35+T35</f>
        <v>-26890.7</v>
      </c>
      <c r="Y35" s="8">
        <f t="shared" si="12"/>
        <v>0</v>
      </c>
      <c r="Z35" s="8">
        <f t="shared" ref="Z35:Z45" si="13">X35+Y35</f>
        <v>-26890.7</v>
      </c>
    </row>
    <row r="36" spans="2:26" x14ac:dyDescent="0.25">
      <c r="B36" s="2" t="s">
        <v>52</v>
      </c>
      <c r="C36" s="2"/>
      <c r="D36" s="1"/>
      <c r="E36" s="1"/>
      <c r="F36" s="1"/>
      <c r="H36" s="1"/>
      <c r="I36" s="1"/>
      <c r="J36" s="1"/>
      <c r="L36" s="1"/>
      <c r="M36" s="1"/>
      <c r="N36" s="1"/>
      <c r="P36" s="1"/>
      <c r="Q36" s="1"/>
      <c r="R36" s="1"/>
      <c r="T36" s="9">
        <v>-2639.87</v>
      </c>
      <c r="U36" s="9">
        <v>0</v>
      </c>
      <c r="V36" s="8">
        <f>T36+U36</f>
        <v>-2639.87</v>
      </c>
      <c r="X36" s="8">
        <f t="shared" si="12"/>
        <v>-2639.87</v>
      </c>
      <c r="Y36" s="8">
        <f t="shared" si="12"/>
        <v>0</v>
      </c>
      <c r="Z36" s="8">
        <f t="shared" si="13"/>
        <v>-2639.87</v>
      </c>
    </row>
    <row r="37" spans="2:26" x14ac:dyDescent="0.25">
      <c r="B37" s="2" t="s">
        <v>104</v>
      </c>
      <c r="C37" s="6" t="s">
        <v>17</v>
      </c>
      <c r="D37" s="1"/>
      <c r="E37" s="1"/>
      <c r="F37" s="1"/>
      <c r="H37" s="1"/>
      <c r="I37" s="1"/>
      <c r="J37" s="1"/>
      <c r="L37" s="9">
        <v>-70000</v>
      </c>
      <c r="M37" s="9">
        <v>0</v>
      </c>
      <c r="N37" s="8">
        <f>L37+M37</f>
        <v>-70000</v>
      </c>
      <c r="P37" s="14">
        <f>-487887.52 + 70000</f>
        <v>-417887.52</v>
      </c>
      <c r="Q37" s="14">
        <v>0</v>
      </c>
      <c r="R37" s="15">
        <f>P37+Q37</f>
        <v>-417887.52</v>
      </c>
      <c r="X37" s="15">
        <f t="shared" ref="X37:X39" si="14">D37+H37+L37+P37+T37</f>
        <v>-487887.52</v>
      </c>
      <c r="Y37" s="15">
        <f t="shared" ref="Y37:Y39" si="15">E37+I37+M37+Q37+U37</f>
        <v>0</v>
      </c>
      <c r="Z37" s="15">
        <f t="shared" ref="Z37:Z39" si="16">X37+Y37</f>
        <v>-487887.52</v>
      </c>
    </row>
    <row r="38" spans="2:26" x14ac:dyDescent="0.25">
      <c r="B38" s="2" t="s">
        <v>539</v>
      </c>
      <c r="C38" s="6" t="s">
        <v>18</v>
      </c>
      <c r="D38" s="1"/>
      <c r="E38" s="2"/>
      <c r="F38" s="1"/>
      <c r="H38" s="1"/>
      <c r="I38" s="1"/>
      <c r="J38" s="1"/>
      <c r="L38" s="1"/>
      <c r="M38" s="1"/>
      <c r="N38" s="1"/>
      <c r="P38" s="9">
        <v>-2180</v>
      </c>
      <c r="Q38" s="9">
        <v>0</v>
      </c>
      <c r="R38" s="8">
        <f>P38+Q38</f>
        <v>-2180</v>
      </c>
      <c r="X38" s="8">
        <f t="shared" si="14"/>
        <v>-2180</v>
      </c>
      <c r="Y38" s="8">
        <f t="shared" si="15"/>
        <v>0</v>
      </c>
      <c r="Z38" s="8">
        <f t="shared" si="16"/>
        <v>-2180</v>
      </c>
    </row>
    <row r="39" spans="2:26" x14ac:dyDescent="0.25">
      <c r="B39" s="2" t="s">
        <v>480</v>
      </c>
      <c r="C39" s="6" t="s">
        <v>19</v>
      </c>
      <c r="D39" s="9">
        <v>-2523.79</v>
      </c>
      <c r="E39" s="9">
        <v>0</v>
      </c>
      <c r="F39" s="8">
        <f>D39+E39</f>
        <v>-2523.79</v>
      </c>
      <c r="H39" s="1"/>
      <c r="I39" s="1"/>
      <c r="J39" s="1"/>
      <c r="L39" s="1"/>
      <c r="M39" s="1"/>
      <c r="N39" s="1"/>
      <c r="P39" s="1"/>
      <c r="Q39" s="1"/>
      <c r="R39" s="1"/>
      <c r="X39" s="8">
        <f t="shared" si="14"/>
        <v>-2523.79</v>
      </c>
      <c r="Y39" s="8">
        <f t="shared" si="15"/>
        <v>0</v>
      </c>
      <c r="Z39" s="8">
        <f t="shared" si="16"/>
        <v>-2523.79</v>
      </c>
    </row>
    <row r="40" spans="2:26" x14ac:dyDescent="0.25">
      <c r="B40" s="2" t="s">
        <v>1</v>
      </c>
      <c r="C40" s="6" t="s">
        <v>20</v>
      </c>
      <c r="D40" s="1"/>
      <c r="E40" s="1"/>
      <c r="F40" s="1"/>
      <c r="H40" s="1"/>
      <c r="I40" s="1"/>
      <c r="J40" s="1"/>
      <c r="L40" s="1"/>
      <c r="M40" s="1"/>
      <c r="N40" s="1"/>
      <c r="P40" s="9">
        <v>-4767.95</v>
      </c>
      <c r="Q40" s="9">
        <v>0</v>
      </c>
      <c r="R40" s="8">
        <f t="shared" ref="R40:R45" si="17">P40+Q40</f>
        <v>-4767.95</v>
      </c>
      <c r="X40" s="8">
        <f t="shared" si="12"/>
        <v>-4767.95</v>
      </c>
      <c r="Y40" s="8">
        <f t="shared" si="12"/>
        <v>0</v>
      </c>
      <c r="Z40" s="8">
        <f t="shared" si="13"/>
        <v>-4767.95</v>
      </c>
    </row>
    <row r="41" spans="2:26" x14ac:dyDescent="0.25">
      <c r="B41" s="2" t="s">
        <v>138</v>
      </c>
      <c r="C41" s="6" t="s">
        <v>162</v>
      </c>
      <c r="D41" s="1"/>
      <c r="E41" s="1"/>
      <c r="F41" s="1"/>
      <c r="H41" s="9">
        <v>-59794.58</v>
      </c>
      <c r="I41" s="9">
        <v>0</v>
      </c>
      <c r="J41" s="8">
        <f>H41+I41</f>
        <v>-59794.58</v>
      </c>
      <c r="L41" s="1"/>
      <c r="M41" s="1"/>
      <c r="N41" s="1"/>
      <c r="P41" s="9">
        <v>-13602.47</v>
      </c>
      <c r="Q41" s="9">
        <v>0</v>
      </c>
      <c r="R41" s="8">
        <f t="shared" si="17"/>
        <v>-13602.47</v>
      </c>
      <c r="X41" s="8">
        <f t="shared" ref="X41" si="18">D41+H41+L41+P41+T41</f>
        <v>-73397.05</v>
      </c>
      <c r="Y41" s="8">
        <f t="shared" ref="Y41" si="19">E41+I41+M41+Q41+U41</f>
        <v>0</v>
      </c>
      <c r="Z41" s="8">
        <f t="shared" ref="Z41" si="20">X41+Y41</f>
        <v>-73397.05</v>
      </c>
    </row>
    <row r="42" spans="2:26" x14ac:dyDescent="0.25">
      <c r="B42" s="2" t="s">
        <v>595</v>
      </c>
      <c r="C42" s="6" t="s">
        <v>197</v>
      </c>
      <c r="D42" s="1"/>
      <c r="E42" s="1"/>
      <c r="F42" s="1"/>
      <c r="H42" s="1"/>
      <c r="I42" s="1"/>
      <c r="J42" s="1"/>
      <c r="P42" s="9">
        <v>-75000</v>
      </c>
      <c r="Q42" s="9">
        <v>0</v>
      </c>
      <c r="R42" s="8">
        <f t="shared" si="17"/>
        <v>-75000</v>
      </c>
      <c r="X42" s="8">
        <f t="shared" si="12"/>
        <v>-75000</v>
      </c>
      <c r="Y42" s="8">
        <f t="shared" si="12"/>
        <v>0</v>
      </c>
      <c r="Z42" s="8">
        <f t="shared" si="13"/>
        <v>-75000</v>
      </c>
    </row>
    <row r="43" spans="2:26" x14ac:dyDescent="0.25">
      <c r="B43" s="2" t="s">
        <v>598</v>
      </c>
      <c r="C43" s="6" t="s">
        <v>472</v>
      </c>
      <c r="D43" s="1"/>
      <c r="E43" s="1"/>
      <c r="F43" s="1"/>
      <c r="H43" s="1"/>
      <c r="I43" s="1"/>
      <c r="J43" s="1"/>
      <c r="L43" s="9">
        <v>-10000</v>
      </c>
      <c r="M43" s="9">
        <v>0</v>
      </c>
      <c r="N43" s="8">
        <f>L43+M43</f>
        <v>-10000</v>
      </c>
      <c r="P43" s="9">
        <v>-15000</v>
      </c>
      <c r="Q43" s="9">
        <v>0</v>
      </c>
      <c r="R43" s="8">
        <f t="shared" si="17"/>
        <v>-15000</v>
      </c>
      <c r="X43" s="8">
        <f t="shared" ref="X43" si="21">D43+H43+L43+P43+T43</f>
        <v>-25000</v>
      </c>
      <c r="Y43" s="8">
        <f t="shared" ref="Y43" si="22">E43+I43+M43+Q43+U43</f>
        <v>0</v>
      </c>
      <c r="Z43" s="8">
        <f t="shared" ref="Z43" si="23">X43+Y43</f>
        <v>-25000</v>
      </c>
    </row>
    <row r="44" spans="2:26" ht="15.75" thickBot="1" x14ac:dyDescent="0.3">
      <c r="B44" s="2" t="s">
        <v>213</v>
      </c>
      <c r="C44" s="6" t="s">
        <v>214</v>
      </c>
      <c r="H44" s="9">
        <v>-20000</v>
      </c>
      <c r="I44" s="9">
        <v>0</v>
      </c>
      <c r="J44" s="8">
        <f>H44+I44</f>
        <v>-20000</v>
      </c>
      <c r="P44" s="14">
        <v>-59887</v>
      </c>
      <c r="Q44" s="14">
        <v>0</v>
      </c>
      <c r="R44" s="15">
        <f t="shared" si="17"/>
        <v>-59887</v>
      </c>
      <c r="X44" s="8">
        <f>D44+H44+L44+P44+T44</f>
        <v>-79887</v>
      </c>
      <c r="Y44" s="8">
        <f>E44+I44+M44+Q44+U44</f>
        <v>0</v>
      </c>
      <c r="Z44" s="8">
        <f>X44+Y44</f>
        <v>-79887</v>
      </c>
    </row>
    <row r="45" spans="2:26" x14ac:dyDescent="0.25">
      <c r="B45" s="2" t="s">
        <v>31</v>
      </c>
      <c r="C45" s="2"/>
      <c r="D45" s="26">
        <f>SUM(D35:D44)</f>
        <v>-2523.79</v>
      </c>
      <c r="E45" s="26">
        <f>SUM(E35:E44)</f>
        <v>0</v>
      </c>
      <c r="F45" s="26">
        <f>D45+E45</f>
        <v>-2523.79</v>
      </c>
      <c r="H45" s="26">
        <f>SUM(H35:H44)</f>
        <v>-79794.58</v>
      </c>
      <c r="I45" s="26">
        <f>SUM(I35:I44)</f>
        <v>0</v>
      </c>
      <c r="J45" s="26">
        <f>H45+I45</f>
        <v>-79794.58</v>
      </c>
      <c r="L45" s="26">
        <f>SUM(L35:L44)</f>
        <v>-80000</v>
      </c>
      <c r="M45" s="26">
        <f>SUM(M35:M44)</f>
        <v>0</v>
      </c>
      <c r="N45" s="26">
        <f>L45+M45</f>
        <v>-80000</v>
      </c>
      <c r="P45" s="26">
        <f>SUM(P35:P44)</f>
        <v>-588324.93999999994</v>
      </c>
      <c r="Q45" s="26">
        <f>SUM(Q35:Q44)</f>
        <v>0</v>
      </c>
      <c r="R45" s="26">
        <f t="shared" si="17"/>
        <v>-588324.93999999994</v>
      </c>
      <c r="S45" s="1"/>
      <c r="T45" s="26">
        <f>SUM(T35:T44)</f>
        <v>-29530.57</v>
      </c>
      <c r="U45" s="26">
        <f>SUM(U35:U44)</f>
        <v>0</v>
      </c>
      <c r="V45" s="26">
        <f>T45+U45</f>
        <v>-29530.57</v>
      </c>
      <c r="X45" s="26">
        <f>SUM(X35:X44)</f>
        <v>-780173.88</v>
      </c>
      <c r="Y45" s="26">
        <f>SUM(Y35:Y44)</f>
        <v>0</v>
      </c>
      <c r="Z45" s="26">
        <f t="shared" si="13"/>
        <v>-780173.88</v>
      </c>
    </row>
    <row r="46" spans="2:26" x14ac:dyDescent="0.25">
      <c r="D46" s="1"/>
      <c r="E46" s="1"/>
      <c r="F46" s="1"/>
      <c r="H46" s="1"/>
      <c r="I46" s="1"/>
      <c r="J46" s="1"/>
      <c r="L46" s="1"/>
      <c r="M46" s="1"/>
      <c r="N46" s="1"/>
      <c r="P46" s="1"/>
      <c r="Q46" s="1"/>
      <c r="R46" s="1"/>
      <c r="T46" s="1"/>
      <c r="U46" s="1"/>
      <c r="V46" s="1"/>
      <c r="X46" s="1"/>
    </row>
    <row r="47" spans="2:26" x14ac:dyDescent="0.25">
      <c r="B47" s="5" t="s">
        <v>10</v>
      </c>
      <c r="C47" s="5"/>
      <c r="D47" s="1"/>
      <c r="E47" s="1"/>
      <c r="F47" s="1"/>
      <c r="L47" s="1"/>
      <c r="M47" s="1"/>
      <c r="N47" s="1"/>
    </row>
    <row r="48" spans="2:26" x14ac:dyDescent="0.25">
      <c r="B48" s="2" t="s">
        <v>169</v>
      </c>
      <c r="C48" s="2"/>
      <c r="P48" s="8">
        <v>0</v>
      </c>
      <c r="Q48" s="8">
        <f>-T48</f>
        <v>1657.94</v>
      </c>
      <c r="R48" s="8">
        <f>P48+Q48</f>
        <v>1657.94</v>
      </c>
      <c r="T48" s="9">
        <f>-1657.94</f>
        <v>-1657.94</v>
      </c>
      <c r="U48" s="8">
        <v>0</v>
      </c>
      <c r="V48" s="8">
        <f>T48+U48</f>
        <v>-1657.94</v>
      </c>
      <c r="X48" s="8">
        <f t="shared" ref="X48:Y51" si="24">D48+H48+L48+P48+T48</f>
        <v>-1657.94</v>
      </c>
      <c r="Y48" s="8">
        <f t="shared" si="24"/>
        <v>1657.94</v>
      </c>
      <c r="Z48" s="8">
        <f t="shared" ref="Z48:Z54" si="25">X48+Y48</f>
        <v>0</v>
      </c>
    </row>
    <row r="49" spans="2:26" x14ac:dyDescent="0.25">
      <c r="B49" s="2" t="s">
        <v>52</v>
      </c>
      <c r="C49" s="2"/>
      <c r="P49" s="8">
        <v>0</v>
      </c>
      <c r="Q49" s="8">
        <f>-T49</f>
        <v>5061.49</v>
      </c>
      <c r="R49" s="8">
        <f>P49+Q49</f>
        <v>5061.49</v>
      </c>
      <c r="T49" s="9">
        <v>-5061.49</v>
      </c>
      <c r="U49" s="8">
        <v>0</v>
      </c>
      <c r="V49" s="8">
        <f>T49+U49</f>
        <v>-5061.49</v>
      </c>
      <c r="X49" s="8">
        <f t="shared" si="24"/>
        <v>-5061.49</v>
      </c>
      <c r="Y49" s="8">
        <f t="shared" si="24"/>
        <v>5061.49</v>
      </c>
      <c r="Z49" s="8">
        <f t="shared" si="25"/>
        <v>0</v>
      </c>
    </row>
    <row r="50" spans="2:26" x14ac:dyDescent="0.25">
      <c r="B50" s="2" t="s">
        <v>104</v>
      </c>
      <c r="C50" s="6" t="s">
        <v>17</v>
      </c>
      <c r="P50" s="14">
        <v>0.02</v>
      </c>
      <c r="Q50" s="8">
        <f>-P50</f>
        <v>-0.02</v>
      </c>
      <c r="R50" s="8">
        <f>P50+Q50</f>
        <v>0</v>
      </c>
      <c r="X50" s="8">
        <f t="shared" ref="X50" si="26">D50+H50+L50+P50+T50</f>
        <v>0.02</v>
      </c>
      <c r="Y50" s="8">
        <f t="shared" ref="Y50" si="27">E50+I50+M50+Q50+U50</f>
        <v>-0.02</v>
      </c>
      <c r="Z50" s="8">
        <f t="shared" ref="Z50" si="28">X50+Y50</f>
        <v>0</v>
      </c>
    </row>
    <row r="51" spans="2:26" x14ac:dyDescent="0.25">
      <c r="B51" s="2" t="s">
        <v>539</v>
      </c>
      <c r="C51" s="6" t="s">
        <v>18</v>
      </c>
      <c r="P51" s="9">
        <v>-13025.5</v>
      </c>
      <c r="Q51" s="8">
        <f>-P51</f>
        <v>13025.5</v>
      </c>
      <c r="R51" s="15">
        <f>P51+Q51</f>
        <v>0</v>
      </c>
      <c r="X51" s="8">
        <f t="shared" si="24"/>
        <v>-13025.5</v>
      </c>
      <c r="Y51" s="8">
        <f t="shared" si="24"/>
        <v>13025.5</v>
      </c>
      <c r="Z51" s="8">
        <f t="shared" ref="Z51" si="29">X51+Y51</f>
        <v>0</v>
      </c>
    </row>
    <row r="52" spans="2:26" x14ac:dyDescent="0.25">
      <c r="B52" s="2" t="s">
        <v>480</v>
      </c>
      <c r="C52" s="6" t="s">
        <v>19</v>
      </c>
      <c r="D52" s="9">
        <v>-4931.01</v>
      </c>
      <c r="E52" s="8">
        <f>-D52</f>
        <v>4931.01</v>
      </c>
      <c r="F52" s="8">
        <f>D52+E52</f>
        <v>0</v>
      </c>
      <c r="X52" s="8">
        <f t="shared" ref="X52:Y53" si="30">D52+H52+L52+P52+T52</f>
        <v>-4931.01</v>
      </c>
      <c r="Y52" s="8">
        <f t="shared" si="30"/>
        <v>4931.01</v>
      </c>
      <c r="Z52" s="8">
        <f t="shared" si="25"/>
        <v>0</v>
      </c>
    </row>
    <row r="53" spans="2:26" ht="15.75" thickBot="1" x14ac:dyDescent="0.3">
      <c r="B53" s="2" t="s">
        <v>1</v>
      </c>
      <c r="C53" s="6" t="s">
        <v>20</v>
      </c>
      <c r="P53" s="9">
        <v>-220.42</v>
      </c>
      <c r="Q53" s="8">
        <f>-P53</f>
        <v>220.42</v>
      </c>
      <c r="R53" s="15">
        <f>P53+Q53</f>
        <v>0</v>
      </c>
      <c r="X53" s="8">
        <f t="shared" si="30"/>
        <v>-220.42</v>
      </c>
      <c r="Y53" s="8">
        <f t="shared" si="30"/>
        <v>220.42</v>
      </c>
      <c r="Z53" s="8">
        <f>X53+Y53</f>
        <v>0</v>
      </c>
    </row>
    <row r="54" spans="2:26" x14ac:dyDescent="0.25">
      <c r="B54" s="2" t="s">
        <v>39</v>
      </c>
      <c r="C54" s="2"/>
      <c r="D54" s="26">
        <f>SUM(D48:D53)</f>
        <v>-4931.01</v>
      </c>
      <c r="E54" s="26">
        <f>SUM(E48:E53)</f>
        <v>4931.01</v>
      </c>
      <c r="F54" s="26">
        <f>D54+E54</f>
        <v>0</v>
      </c>
      <c r="H54" s="26">
        <f>SUM(H48:H53)</f>
        <v>0</v>
      </c>
      <c r="I54" s="26">
        <f>SUM(I48:I53)</f>
        <v>0</v>
      </c>
      <c r="J54" s="26">
        <f>H54+I54</f>
        <v>0</v>
      </c>
      <c r="L54" s="26">
        <f>SUM(L48:L53)</f>
        <v>0</v>
      </c>
      <c r="M54" s="26">
        <f>SUM(M48:M53)</f>
        <v>0</v>
      </c>
      <c r="N54" s="26">
        <f>L54+M54</f>
        <v>0</v>
      </c>
      <c r="P54" s="26">
        <f>SUM(P48:P53)</f>
        <v>-13245.9</v>
      </c>
      <c r="Q54" s="26">
        <f>SUM(Q48:Q53)</f>
        <v>19965.329999999998</v>
      </c>
      <c r="R54" s="26">
        <f>P54+Q54</f>
        <v>6719.4299999999985</v>
      </c>
      <c r="S54" s="1"/>
      <c r="T54" s="26">
        <f>SUM(T48:T53)</f>
        <v>-6719.43</v>
      </c>
      <c r="U54" s="26">
        <f>SUM(U48:U53)</f>
        <v>0</v>
      </c>
      <c r="V54" s="26">
        <f>T54+U54</f>
        <v>-6719.43</v>
      </c>
      <c r="X54" s="26">
        <f>SUM(X48:X49)</f>
        <v>-6719.43</v>
      </c>
      <c r="Y54" s="26">
        <f>SUM(Y48:Y49)</f>
        <v>6719.43</v>
      </c>
      <c r="Z54" s="26">
        <f t="shared" si="25"/>
        <v>0</v>
      </c>
    </row>
    <row r="55" spans="2:26" x14ac:dyDescent="0.25">
      <c r="L55" s="1"/>
      <c r="M55" s="1"/>
      <c r="N55" s="1"/>
      <c r="P55" s="1"/>
      <c r="Q55" s="1"/>
      <c r="R55" s="1"/>
    </row>
    <row r="56" spans="2:26" x14ac:dyDescent="0.25">
      <c r="B56" s="2" t="s">
        <v>208</v>
      </c>
      <c r="C56" s="2"/>
      <c r="D56" s="8">
        <f>D7+D15+D22+D28+D32+D45+D54</f>
        <v>0</v>
      </c>
      <c r="E56" s="8">
        <f>E7+E15+E22+E28+E32+E45+E54</f>
        <v>192088.78000000003</v>
      </c>
      <c r="F56" s="8">
        <f>D56+E56</f>
        <v>192088.78000000003</v>
      </c>
      <c r="H56" s="8">
        <f>H7+H15+H22+H28+H32+H45+H54</f>
        <v>65144.770000000004</v>
      </c>
      <c r="I56" s="8">
        <f>I7+I15+I22+I28+I32+I45+I54</f>
        <v>66624.890000000014</v>
      </c>
      <c r="J56" s="8">
        <f>H56+I56</f>
        <v>131769.66000000003</v>
      </c>
      <c r="L56" s="8">
        <f>L7+L15+L22+L28+L32+L45+L54</f>
        <v>0</v>
      </c>
      <c r="M56" s="8">
        <f>M7+M15+M22+M28+M32+M45+M54</f>
        <v>5587.820000000007</v>
      </c>
      <c r="N56" s="8">
        <f>L56+M56</f>
        <v>5587.820000000007</v>
      </c>
      <c r="P56" s="8">
        <f>P7+P15+P22+P28+P32+P45+P54</f>
        <v>137792.53000000006</v>
      </c>
      <c r="Q56" s="8">
        <f>Q7+Q15+Q22+Q28+Q32+Q45+Q54</f>
        <v>337002.18</v>
      </c>
      <c r="R56" s="8">
        <f>P56+Q56</f>
        <v>474794.71000000008</v>
      </c>
      <c r="T56" s="8">
        <f>T7+T15+T22+T28+T32+T45+T54</f>
        <v>0</v>
      </c>
      <c r="U56" s="8">
        <f>U7+U15+U22+U28+U32+U45+U54</f>
        <v>0</v>
      </c>
      <c r="V56" s="8">
        <f>T56+U56</f>
        <v>0</v>
      </c>
      <c r="X56" s="8">
        <f>D56+H56+L56+P56+T56</f>
        <v>202937.30000000005</v>
      </c>
      <c r="Y56" s="8">
        <f>E56+I56+M56+Q56+U56</f>
        <v>601303.67000000004</v>
      </c>
      <c r="Z56" s="8">
        <f>X56+Y56</f>
        <v>804240.97000000009</v>
      </c>
    </row>
    <row r="57" spans="2:26" x14ac:dyDescent="0.25">
      <c r="L57" s="1"/>
      <c r="M57" s="1"/>
      <c r="N57" s="1"/>
      <c r="P57" s="1"/>
      <c r="Q57" s="1"/>
      <c r="R57" s="1"/>
    </row>
    <row r="58" spans="2:26" x14ac:dyDescent="0.25">
      <c r="B58" s="5" t="s">
        <v>149</v>
      </c>
      <c r="C58" s="5"/>
      <c r="L58" s="1"/>
      <c r="M58" s="1"/>
      <c r="N58" s="1"/>
      <c r="P58" s="1"/>
    </row>
    <row r="59" spans="2:26" x14ac:dyDescent="0.25">
      <c r="B59" s="2" t="s">
        <v>217</v>
      </c>
      <c r="C59" s="6" t="s">
        <v>473</v>
      </c>
      <c r="L59" s="1"/>
      <c r="M59" s="1"/>
      <c r="N59" s="1"/>
      <c r="P59" s="9">
        <v>299587.5</v>
      </c>
      <c r="Q59" s="8">
        <f>-P59</f>
        <v>-299587.5</v>
      </c>
      <c r="R59" s="8">
        <f>P59+Q59</f>
        <v>0</v>
      </c>
      <c r="X59" s="8">
        <f t="shared" ref="X59:Y61" si="31">D59+H59+L59+P59+T59</f>
        <v>299587.5</v>
      </c>
      <c r="Y59" s="8">
        <f t="shared" si="31"/>
        <v>-299587.5</v>
      </c>
      <c r="Z59" s="8">
        <f>X59+Y59</f>
        <v>0</v>
      </c>
    </row>
    <row r="60" spans="2:26" ht="15.75" thickBot="1" x14ac:dyDescent="0.3">
      <c r="B60" s="2" t="s">
        <v>471</v>
      </c>
      <c r="C60" s="2"/>
      <c r="D60" s="14">
        <v>0</v>
      </c>
      <c r="E60" s="14">
        <v>-0.01</v>
      </c>
      <c r="F60" s="8">
        <f>D60+E60</f>
        <v>-0.01</v>
      </c>
      <c r="H60" s="14">
        <v>0</v>
      </c>
      <c r="I60" s="14">
        <v>-0.01</v>
      </c>
      <c r="J60" s="12">
        <f>H60+I60</f>
        <v>-0.01</v>
      </c>
      <c r="L60" s="14">
        <v>0</v>
      </c>
      <c r="M60" s="14">
        <v>-0.01</v>
      </c>
      <c r="N60" s="8">
        <f>L60+M60</f>
        <v>-0.01</v>
      </c>
      <c r="P60" s="14">
        <v>0</v>
      </c>
      <c r="Q60" s="14">
        <f>-0.48+0.5</f>
        <v>2.0000000000000018E-2</v>
      </c>
      <c r="R60" s="8">
        <f>P60+Q60</f>
        <v>2.0000000000000018E-2</v>
      </c>
      <c r="T60" s="14">
        <v>0</v>
      </c>
      <c r="U60" s="14">
        <v>0</v>
      </c>
      <c r="V60" s="8">
        <f>T60+U60</f>
        <v>0</v>
      </c>
      <c r="X60" s="8">
        <f t="shared" si="31"/>
        <v>0</v>
      </c>
      <c r="Y60" s="8">
        <f t="shared" si="31"/>
        <v>-9.9999999999999811E-3</v>
      </c>
      <c r="Z60" s="8">
        <f>X60+Y60</f>
        <v>-9.9999999999999811E-3</v>
      </c>
    </row>
    <row r="61" spans="2:26" x14ac:dyDescent="0.25">
      <c r="B61" s="2" t="s">
        <v>151</v>
      </c>
      <c r="C61" s="2"/>
      <c r="D61" s="26">
        <f>SUM(D59:D60)</f>
        <v>0</v>
      </c>
      <c r="E61" s="26">
        <f>SUM(E59:E60)</f>
        <v>-0.01</v>
      </c>
      <c r="F61" s="26">
        <f>D61+E61</f>
        <v>-0.01</v>
      </c>
      <c r="H61" s="26">
        <f>SUM(H59:H60)</f>
        <v>0</v>
      </c>
      <c r="I61" s="26">
        <f>SUM(I59:I60)</f>
        <v>-0.01</v>
      </c>
      <c r="J61" s="26">
        <f>H61+I61</f>
        <v>-0.01</v>
      </c>
      <c r="L61" s="26">
        <f>SUM(L59:L60)</f>
        <v>0</v>
      </c>
      <c r="M61" s="26">
        <f>SUM(M59:M60)</f>
        <v>-0.01</v>
      </c>
      <c r="N61" s="26">
        <f>L61+M61</f>
        <v>-0.01</v>
      </c>
      <c r="P61" s="26">
        <f>SUM(P59:P60)</f>
        <v>299587.5</v>
      </c>
      <c r="Q61" s="26">
        <f>SUM(Q59:Q60)</f>
        <v>-299587.48</v>
      </c>
      <c r="R61" s="26">
        <f>P61+Q61</f>
        <v>2.0000000018626451E-2</v>
      </c>
      <c r="S61" s="1"/>
      <c r="T61" s="26">
        <f>SUM(T59:T60)</f>
        <v>0</v>
      </c>
      <c r="U61" s="26">
        <f>SUM(U59:U60)</f>
        <v>0</v>
      </c>
      <c r="V61" s="26">
        <f>T61+U61</f>
        <v>0</v>
      </c>
      <c r="X61" s="26">
        <f t="shared" si="31"/>
        <v>299587.5</v>
      </c>
      <c r="Y61" s="26">
        <f t="shared" si="31"/>
        <v>-299587.51</v>
      </c>
      <c r="Z61" s="26">
        <f>X61+Y61</f>
        <v>-1.0000000009313226E-2</v>
      </c>
    </row>
    <row r="62" spans="2:26" x14ac:dyDescent="0.25">
      <c r="B62" s="2"/>
      <c r="C62" s="2"/>
    </row>
    <row r="63" spans="2:26" ht="15.75" thickBot="1" x14ac:dyDescent="0.3">
      <c r="B63" s="2" t="s">
        <v>207</v>
      </c>
      <c r="C63" s="2"/>
      <c r="D63" s="17">
        <f>ROUND(D56+D61,2)</f>
        <v>0</v>
      </c>
      <c r="E63" s="17">
        <f>ROUND(E56+E61,2)</f>
        <v>192088.77</v>
      </c>
      <c r="F63" s="17">
        <f>D63+E63</f>
        <v>192088.77</v>
      </c>
      <c r="H63" s="17">
        <f>ROUND(H56+H61,2)</f>
        <v>65144.77</v>
      </c>
      <c r="I63" s="17">
        <f>ROUND(I56+I61,2)</f>
        <v>66624.88</v>
      </c>
      <c r="J63" s="17">
        <f>H63+I63</f>
        <v>131769.65</v>
      </c>
      <c r="L63" s="17">
        <f>ROUND(L56+L61,2)</f>
        <v>0</v>
      </c>
      <c r="M63" s="17">
        <f>ROUND(M56+M61,2)</f>
        <v>5587.81</v>
      </c>
      <c r="N63" s="17">
        <f>L63+M63</f>
        <v>5587.81</v>
      </c>
      <c r="P63" s="17">
        <f>ROUND(P56+P61,2)</f>
        <v>437380.03</v>
      </c>
      <c r="Q63" s="17">
        <f>ROUND(Q56+Q61,2)</f>
        <v>37414.699999999997</v>
      </c>
      <c r="R63" s="17">
        <f>P63+Q63</f>
        <v>474794.73000000004</v>
      </c>
      <c r="T63" s="17">
        <f>ROUND(T56+T61,2)</f>
        <v>0</v>
      </c>
      <c r="U63" s="17">
        <f>ROUND(U56+U61,2)</f>
        <v>0</v>
      </c>
      <c r="V63" s="17">
        <f>T63+U63</f>
        <v>0</v>
      </c>
      <c r="X63" s="17">
        <f>D63+H63+L63+P63+T63</f>
        <v>502524.80000000005</v>
      </c>
      <c r="Y63" s="17">
        <f>E63+I63+M63+Q63+U63</f>
        <v>301716.16000000003</v>
      </c>
      <c r="Z63" s="17">
        <f>X63+Y63</f>
        <v>804240.96000000008</v>
      </c>
    </row>
    <row r="64" spans="2:26" ht="15.75" thickTop="1" x14ac:dyDescent="0.25">
      <c r="B64" s="2"/>
      <c r="C64" s="2"/>
    </row>
    <row r="65" spans="1:26" x14ac:dyDescent="0.25">
      <c r="B65" s="2"/>
      <c r="C65" s="2"/>
    </row>
    <row r="66" spans="1:26" x14ac:dyDescent="0.25">
      <c r="A66" s="35" t="s">
        <v>54</v>
      </c>
      <c r="B66" s="35"/>
      <c r="C66" s="19"/>
    </row>
    <row r="68" spans="1:26" x14ac:dyDescent="0.25">
      <c r="B68" s="5" t="s">
        <v>152</v>
      </c>
      <c r="C68" s="5"/>
    </row>
    <row r="69" spans="1:26" x14ac:dyDescent="0.25">
      <c r="B69" s="2" t="s">
        <v>735</v>
      </c>
      <c r="C69" s="2"/>
      <c r="D69" s="9">
        <v>0</v>
      </c>
      <c r="E69" s="9">
        <f>ROUND(525000/10,2)</f>
        <v>52500</v>
      </c>
      <c r="F69" s="8">
        <f>D69+E69</f>
        <v>52500</v>
      </c>
      <c r="H69" s="9">
        <v>0</v>
      </c>
      <c r="I69" s="9">
        <f>ROUND(525000/10,2)</f>
        <v>52500</v>
      </c>
      <c r="J69" s="8">
        <f>H69+I69</f>
        <v>52500</v>
      </c>
      <c r="L69" s="9">
        <v>0</v>
      </c>
      <c r="M69" s="9">
        <f>ROUND(525000/10,2)</f>
        <v>52500</v>
      </c>
      <c r="N69" s="8">
        <f>L69+M69</f>
        <v>52500</v>
      </c>
      <c r="P69" s="9">
        <v>0</v>
      </c>
      <c r="Q69" s="9">
        <f>525000-E69-I69-M69</f>
        <v>367500</v>
      </c>
      <c r="R69" s="8">
        <f>P69+Q69</f>
        <v>367500</v>
      </c>
      <c r="T69" s="1"/>
      <c r="U69" s="1"/>
      <c r="V69" s="1"/>
      <c r="X69" s="8">
        <f t="shared" ref="X69:Z72" si="32">D69+H69+L69+P69+T69</f>
        <v>0</v>
      </c>
      <c r="Y69" s="8">
        <f t="shared" si="32"/>
        <v>525000</v>
      </c>
      <c r="Z69" s="8">
        <f t="shared" si="32"/>
        <v>525000</v>
      </c>
    </row>
    <row r="70" spans="1:26" x14ac:dyDescent="0.25">
      <c r="B70" s="2" t="s">
        <v>218</v>
      </c>
      <c r="C70" s="2"/>
      <c r="D70" s="9">
        <v>0</v>
      </c>
      <c r="E70" s="9">
        <f>ROUND(525000*0.26,2)/10</f>
        <v>13650</v>
      </c>
      <c r="F70" s="8">
        <f>D70+E70</f>
        <v>13650</v>
      </c>
      <c r="H70" s="9">
        <v>0</v>
      </c>
      <c r="I70" s="9">
        <f>ROUND(525000*0.26,2)/10</f>
        <v>13650</v>
      </c>
      <c r="J70" s="8">
        <f>H70+I70</f>
        <v>13650</v>
      </c>
      <c r="L70" s="9">
        <v>0</v>
      </c>
      <c r="M70" s="9">
        <f>ROUND(525000*0.26,2)/10</f>
        <v>13650</v>
      </c>
      <c r="N70" s="8">
        <f>L70+M70</f>
        <v>13650</v>
      </c>
      <c r="P70" s="9">
        <v>0</v>
      </c>
      <c r="Q70" s="9">
        <f>ROUND(525000*0.26,2)-E70-I70-M70</f>
        <v>95550</v>
      </c>
      <c r="R70" s="8">
        <f>P70+Q70</f>
        <v>95550</v>
      </c>
      <c r="X70" s="8">
        <f t="shared" si="32"/>
        <v>0</v>
      </c>
      <c r="Y70" s="8">
        <f t="shared" si="32"/>
        <v>136500</v>
      </c>
      <c r="Z70" s="8">
        <f t="shared" si="32"/>
        <v>136500</v>
      </c>
    </row>
    <row r="71" spans="1:26" ht="15.75" thickBot="1" x14ac:dyDescent="0.3">
      <c r="B71" s="2" t="s">
        <v>153</v>
      </c>
      <c r="C71" s="2"/>
      <c r="D71" s="14">
        <v>0</v>
      </c>
      <c r="E71" s="9">
        <f>1000/10</f>
        <v>100</v>
      </c>
      <c r="F71" s="15">
        <f>D71+E71</f>
        <v>100</v>
      </c>
      <c r="H71" s="14">
        <v>0</v>
      </c>
      <c r="I71" s="9">
        <f>1000/10</f>
        <v>100</v>
      </c>
      <c r="J71" s="15">
        <f>H71+I71</f>
        <v>100</v>
      </c>
      <c r="L71" s="14">
        <v>0</v>
      </c>
      <c r="M71" s="9">
        <f>1000/10</f>
        <v>100</v>
      </c>
      <c r="N71" s="15">
        <f>L71+M71</f>
        <v>100</v>
      </c>
      <c r="P71" s="14">
        <v>0</v>
      </c>
      <c r="Q71" s="9">
        <f>1000-E71-I71-M71</f>
        <v>700</v>
      </c>
      <c r="R71" s="15">
        <f>P71+Q71</f>
        <v>700</v>
      </c>
      <c r="X71" s="15">
        <f t="shared" si="32"/>
        <v>0</v>
      </c>
      <c r="Y71" s="15">
        <f t="shared" si="32"/>
        <v>1000</v>
      </c>
      <c r="Z71" s="15">
        <f t="shared" si="32"/>
        <v>1000</v>
      </c>
    </row>
    <row r="72" spans="1:26" x14ac:dyDescent="0.25">
      <c r="B72" s="2" t="s">
        <v>154</v>
      </c>
      <c r="C72" s="2"/>
      <c r="D72" s="26">
        <f>SUM(D69:D71)</f>
        <v>0</v>
      </c>
      <c r="E72" s="26">
        <f>SUM(E69:E71)</f>
        <v>66250</v>
      </c>
      <c r="F72" s="26">
        <f>D72+E72</f>
        <v>66250</v>
      </c>
      <c r="H72" s="26">
        <f>SUM(H69:H71)</f>
        <v>0</v>
      </c>
      <c r="I72" s="26">
        <f>SUM(I69:I71)</f>
        <v>66250</v>
      </c>
      <c r="J72" s="26">
        <f>H72+I72</f>
        <v>66250</v>
      </c>
      <c r="L72" s="26">
        <f>SUM(L69:L71)</f>
        <v>0</v>
      </c>
      <c r="M72" s="26">
        <f>SUM(M69:M71)</f>
        <v>66250</v>
      </c>
      <c r="N72" s="26">
        <f>L72+M72</f>
        <v>66250</v>
      </c>
      <c r="P72" s="26">
        <f>SUM(P69:P71)</f>
        <v>0</v>
      </c>
      <c r="Q72" s="26">
        <f>SUM(Q69:Q71)</f>
        <v>463750</v>
      </c>
      <c r="R72" s="26">
        <f>P72+Q72</f>
        <v>463750</v>
      </c>
      <c r="S72" s="1"/>
      <c r="T72" s="26">
        <f>SUM(T69:T71)</f>
        <v>0</v>
      </c>
      <c r="U72" s="26">
        <f>SUM(U69:U71)</f>
        <v>0</v>
      </c>
      <c r="V72" s="26">
        <f>T72+U72</f>
        <v>0</v>
      </c>
      <c r="X72" s="26">
        <f t="shared" si="32"/>
        <v>0</v>
      </c>
      <c r="Y72" s="26">
        <f t="shared" si="32"/>
        <v>662500</v>
      </c>
      <c r="Z72" s="26">
        <f t="shared" si="32"/>
        <v>662500</v>
      </c>
    </row>
    <row r="73" spans="1:26" x14ac:dyDescent="0.25">
      <c r="B73" s="2"/>
      <c r="C73" s="2"/>
    </row>
    <row r="74" spans="1:26" x14ac:dyDescent="0.25">
      <c r="B74" s="5" t="s">
        <v>155</v>
      </c>
      <c r="C74" s="5"/>
    </row>
    <row r="75" spans="1:26" x14ac:dyDescent="0.25">
      <c r="B75" s="2" t="s">
        <v>86</v>
      </c>
      <c r="C75" s="2"/>
      <c r="H75" s="1"/>
      <c r="I75" s="1"/>
      <c r="J75" s="1"/>
      <c r="L75" s="1"/>
      <c r="M75" s="1"/>
      <c r="P75" s="9">
        <v>0</v>
      </c>
      <c r="Q75" s="8">
        <f>-T75</f>
        <v>-33225</v>
      </c>
      <c r="R75" s="8">
        <f>P75+Q75</f>
        <v>-33225</v>
      </c>
      <c r="T75" s="9">
        <v>33225</v>
      </c>
      <c r="U75" s="9">
        <v>0</v>
      </c>
      <c r="V75" s="8">
        <f>T75+U75</f>
        <v>33225</v>
      </c>
      <c r="X75" s="8">
        <f t="shared" ref="X75:Z79" si="33">D75+H75+L75+P75+T75</f>
        <v>33225</v>
      </c>
      <c r="Y75" s="8">
        <f t="shared" si="33"/>
        <v>-33225</v>
      </c>
      <c r="Z75" s="8">
        <f t="shared" si="33"/>
        <v>0</v>
      </c>
    </row>
    <row r="76" spans="1:26" x14ac:dyDescent="0.25">
      <c r="B76" s="2" t="s">
        <v>186</v>
      </c>
      <c r="C76" s="6" t="s">
        <v>17</v>
      </c>
      <c r="L76" s="9">
        <v>66000</v>
      </c>
      <c r="M76" s="8">
        <f>-L76</f>
        <v>-66000</v>
      </c>
      <c r="N76" s="8">
        <f>L76+M76</f>
        <v>0</v>
      </c>
      <c r="P76" s="9">
        <f>487112.5-66000</f>
        <v>421112.5</v>
      </c>
      <c r="Q76" s="8">
        <f>-P76</f>
        <v>-421112.5</v>
      </c>
      <c r="R76" s="8">
        <f>P76+Q76</f>
        <v>0</v>
      </c>
      <c r="X76" s="8">
        <f t="shared" ref="X76" si="34">D76+H76+L76+P76+T76</f>
        <v>487112.5</v>
      </c>
      <c r="Y76" s="8">
        <f t="shared" ref="Y76" si="35">E76+I76+M76+Q76+U76</f>
        <v>-487112.5</v>
      </c>
      <c r="Z76" s="8">
        <f t="shared" ref="Z76" si="36">F76+J76+N76+R76+V76</f>
        <v>0</v>
      </c>
    </row>
    <row r="77" spans="1:26" x14ac:dyDescent="0.25">
      <c r="B77" s="2" t="s">
        <v>216</v>
      </c>
      <c r="C77" s="6" t="s">
        <v>376</v>
      </c>
      <c r="D77" s="9">
        <v>15847</v>
      </c>
      <c r="E77" s="9">
        <f>-D77</f>
        <v>-15847</v>
      </c>
      <c r="F77" s="8">
        <f>D77+E77</f>
        <v>0</v>
      </c>
      <c r="H77" s="1"/>
      <c r="I77" s="1"/>
      <c r="J77" s="1"/>
      <c r="L77" s="1"/>
      <c r="M77" s="1"/>
      <c r="N77" s="1"/>
      <c r="T77" s="1"/>
      <c r="X77" s="8">
        <f>D77+H77+L77+P77+T77</f>
        <v>15847</v>
      </c>
      <c r="Y77" s="8">
        <f>E77+I77+M77+Q77+U77</f>
        <v>-15847</v>
      </c>
      <c r="Z77" s="8">
        <f>F77+J77+N77+R77+V77</f>
        <v>0</v>
      </c>
    </row>
    <row r="78" spans="1:26" ht="15.75" thickBot="1" x14ac:dyDescent="0.3">
      <c r="B78" s="2" t="s">
        <v>217</v>
      </c>
      <c r="C78" s="6" t="s">
        <v>473</v>
      </c>
      <c r="H78" s="1"/>
      <c r="I78" s="1"/>
      <c r="J78" s="1"/>
      <c r="L78" s="1"/>
      <c r="M78" s="1"/>
      <c r="N78" s="1"/>
      <c r="P78" s="9">
        <v>309000</v>
      </c>
      <c r="Q78" s="9">
        <f>-P78</f>
        <v>-309000</v>
      </c>
      <c r="R78" s="8">
        <f>P78+Q78</f>
        <v>0</v>
      </c>
      <c r="T78" s="1"/>
      <c r="X78" s="8">
        <f t="shared" si="33"/>
        <v>309000</v>
      </c>
      <c r="Y78" s="8">
        <f t="shared" si="33"/>
        <v>-309000</v>
      </c>
      <c r="Z78" s="8">
        <f t="shared" si="33"/>
        <v>0</v>
      </c>
    </row>
    <row r="79" spans="1:26" x14ac:dyDescent="0.25">
      <c r="B79" s="2" t="s">
        <v>163</v>
      </c>
      <c r="C79" s="2"/>
      <c r="D79" s="26">
        <f>SUM(D75:D78)</f>
        <v>15847</v>
      </c>
      <c r="E79" s="26">
        <f>SUM(E75:E78)</f>
        <v>-15847</v>
      </c>
      <c r="F79" s="26">
        <f>D79+E79</f>
        <v>0</v>
      </c>
      <c r="H79" s="26">
        <f>SUM(H75:H78)</f>
        <v>0</v>
      </c>
      <c r="I79" s="26">
        <f>SUM(I75:I78)</f>
        <v>0</v>
      </c>
      <c r="J79" s="26">
        <f>H79+I79</f>
        <v>0</v>
      </c>
      <c r="L79" s="26">
        <f>SUM(L75:L78)</f>
        <v>66000</v>
      </c>
      <c r="M79" s="26">
        <f>SUM(M75:M78)</f>
        <v>-66000</v>
      </c>
      <c r="N79" s="26">
        <f>L79+M79</f>
        <v>0</v>
      </c>
      <c r="P79" s="26">
        <f>SUM(P75:P78)</f>
        <v>730112.5</v>
      </c>
      <c r="Q79" s="26">
        <f>SUM(Q75:Q78)</f>
        <v>-763337.5</v>
      </c>
      <c r="R79" s="26">
        <f>P79+Q79</f>
        <v>-33225</v>
      </c>
      <c r="S79" s="1"/>
      <c r="T79" s="26">
        <f>SUM(T75:T78)</f>
        <v>33225</v>
      </c>
      <c r="U79" s="26">
        <f>SUM(U75:U78)</f>
        <v>0</v>
      </c>
      <c r="V79" s="26">
        <f>T79+U79</f>
        <v>33225</v>
      </c>
      <c r="X79" s="26">
        <f t="shared" si="33"/>
        <v>845184.5</v>
      </c>
      <c r="Y79" s="26">
        <f t="shared" si="33"/>
        <v>-845184.5</v>
      </c>
      <c r="Z79" s="26">
        <f t="shared" si="33"/>
        <v>0</v>
      </c>
    </row>
    <row r="80" spans="1:26" x14ac:dyDescent="0.25">
      <c r="B80" s="2"/>
      <c r="C80" s="2"/>
    </row>
    <row r="81" spans="2:26" x14ac:dyDescent="0.25">
      <c r="B81" s="2" t="s">
        <v>156</v>
      </c>
      <c r="C81" s="2"/>
      <c r="D81" s="8">
        <f>D72+D79</f>
        <v>15847</v>
      </c>
      <c r="E81" s="8">
        <f>E72+E79</f>
        <v>50403</v>
      </c>
      <c r="F81" s="8">
        <f>D81+E81</f>
        <v>66250</v>
      </c>
      <c r="H81" s="8">
        <f>H72+H79</f>
        <v>0</v>
      </c>
      <c r="I81" s="8">
        <f>I72+I79</f>
        <v>66250</v>
      </c>
      <c r="J81" s="8">
        <f>H81+I81</f>
        <v>66250</v>
      </c>
      <c r="L81" s="8">
        <f>L72+L79</f>
        <v>66000</v>
      </c>
      <c r="M81" s="8">
        <f>M72+M79</f>
        <v>250</v>
      </c>
      <c r="N81" s="8">
        <f>L81+M81</f>
        <v>66250</v>
      </c>
      <c r="P81" s="8">
        <f>P72+P79</f>
        <v>730112.5</v>
      </c>
      <c r="Q81" s="8">
        <f>Q72+Q79</f>
        <v>-299587.5</v>
      </c>
      <c r="R81" s="8">
        <f>P81+Q81</f>
        <v>430525</v>
      </c>
      <c r="T81" s="8">
        <f>T72+T79</f>
        <v>33225</v>
      </c>
      <c r="U81" s="8">
        <f>U72+U79</f>
        <v>0</v>
      </c>
      <c r="V81" s="8">
        <f>T81+U81</f>
        <v>33225</v>
      </c>
      <c r="X81" s="8">
        <f>D81+H81+L81+P81+T81</f>
        <v>845184.5</v>
      </c>
      <c r="Y81" s="8">
        <f>E81+I81+M81+Q81+U81</f>
        <v>-182684.5</v>
      </c>
      <c r="Z81" s="8">
        <f>F81+J81+N81+R81+V81</f>
        <v>662500</v>
      </c>
    </row>
    <row r="82" spans="2:26" x14ac:dyDescent="0.25">
      <c r="B82" s="2"/>
      <c r="C82" s="2"/>
      <c r="Q82" s="1"/>
    </row>
    <row r="84" spans="2:26" x14ac:dyDescent="0.25">
      <c r="D84" t="s">
        <v>72</v>
      </c>
    </row>
    <row r="85" spans="2:26" x14ac:dyDescent="0.25">
      <c r="D85" s="2"/>
    </row>
    <row r="86" spans="2:26" x14ac:dyDescent="0.25">
      <c r="D86" s="2" t="s">
        <v>58</v>
      </c>
      <c r="E86" t="s">
        <v>221</v>
      </c>
    </row>
    <row r="87" spans="2:26" x14ac:dyDescent="0.25">
      <c r="E87" t="s">
        <v>222</v>
      </c>
    </row>
    <row r="88" spans="2:26" x14ac:dyDescent="0.25">
      <c r="E88" t="s">
        <v>223</v>
      </c>
    </row>
    <row r="90" spans="2:26" x14ac:dyDescent="0.25">
      <c r="D90" t="s">
        <v>157</v>
      </c>
    </row>
    <row r="92" spans="2:26" x14ac:dyDescent="0.25">
      <c r="D92" s="36" t="s">
        <v>3</v>
      </c>
      <c r="E92" s="36"/>
      <c r="F92" s="36"/>
      <c r="H92" s="36" t="s">
        <v>4</v>
      </c>
      <c r="I92" s="36"/>
      <c r="J92" s="36"/>
      <c r="L92" s="36" t="s">
        <v>2</v>
      </c>
      <c r="M92" s="36"/>
      <c r="N92" s="36"/>
      <c r="P92" s="36" t="s">
        <v>13</v>
      </c>
      <c r="Q92" s="36"/>
      <c r="R92" s="36"/>
    </row>
    <row r="93" spans="2:26" x14ac:dyDescent="0.25">
      <c r="D93" s="6"/>
      <c r="E93" s="6"/>
      <c r="F93" s="6"/>
      <c r="H93" s="6"/>
      <c r="I93" s="6"/>
      <c r="J93" s="6"/>
    </row>
    <row r="94" spans="2:26" x14ac:dyDescent="0.25">
      <c r="E94" s="6" t="s">
        <v>110</v>
      </c>
      <c r="F94" s="6" t="s">
        <v>111</v>
      </c>
      <c r="I94" s="6" t="s">
        <v>110</v>
      </c>
      <c r="J94" s="6" t="s">
        <v>111</v>
      </c>
      <c r="M94" s="6" t="s">
        <v>110</v>
      </c>
      <c r="N94" s="6" t="s">
        <v>111</v>
      </c>
      <c r="Q94" s="6" t="s">
        <v>110</v>
      </c>
      <c r="R94" s="6" t="s">
        <v>111</v>
      </c>
    </row>
    <row r="95" spans="2:26" x14ac:dyDescent="0.25">
      <c r="E95" s="6"/>
      <c r="F95" s="6"/>
    </row>
    <row r="96" spans="2:26" x14ac:dyDescent="0.25">
      <c r="E96" s="2" t="s">
        <v>480</v>
      </c>
      <c r="F96" s="11">
        <v>7454.8</v>
      </c>
      <c r="I96" s="2" t="s">
        <v>138</v>
      </c>
      <c r="J96" s="14">
        <v>113312.35</v>
      </c>
      <c r="M96" s="2" t="s">
        <v>104</v>
      </c>
      <c r="N96" s="11">
        <v>5440</v>
      </c>
      <c r="Q96" s="2" t="s">
        <v>104</v>
      </c>
      <c r="R96" s="9">
        <v>73247.5</v>
      </c>
    </row>
    <row r="97" spans="4:18" x14ac:dyDescent="0.25">
      <c r="E97" s="2" t="s">
        <v>113</v>
      </c>
      <c r="F97" s="13">
        <f>SUM(F96:F96)</f>
        <v>7454.8</v>
      </c>
      <c r="I97" s="2" t="s">
        <v>113</v>
      </c>
      <c r="J97" s="13">
        <f>SUM(J96:J96)</f>
        <v>113312.35</v>
      </c>
      <c r="M97" s="2" t="s">
        <v>113</v>
      </c>
      <c r="N97" s="13">
        <f>N96</f>
        <v>5440</v>
      </c>
      <c r="Q97" s="2" t="s">
        <v>539</v>
      </c>
      <c r="R97" s="9">
        <v>15205.5</v>
      </c>
    </row>
    <row r="98" spans="4:18" x14ac:dyDescent="0.25">
      <c r="Q98" s="2" t="s">
        <v>138</v>
      </c>
      <c r="R98" s="9">
        <v>17500</v>
      </c>
    </row>
    <row r="99" spans="4:18" x14ac:dyDescent="0.25">
      <c r="Q99" s="2" t="s">
        <v>1</v>
      </c>
      <c r="R99" s="9">
        <v>4988.37</v>
      </c>
    </row>
    <row r="100" spans="4:18" x14ac:dyDescent="0.25">
      <c r="Q100" s="2" t="s">
        <v>113</v>
      </c>
      <c r="R100" s="13">
        <f>SUM(R96:R99)</f>
        <v>110941.37</v>
      </c>
    </row>
    <row r="102" spans="4:18" x14ac:dyDescent="0.25">
      <c r="D102" s="6" t="s">
        <v>118</v>
      </c>
    </row>
    <row r="103" spans="4:18" x14ac:dyDescent="0.25">
      <c r="D103" s="2" t="s">
        <v>58</v>
      </c>
      <c r="E103" t="s">
        <v>736</v>
      </c>
    </row>
    <row r="104" spans="4:18" x14ac:dyDescent="0.25">
      <c r="D104" s="2" t="s">
        <v>60</v>
      </c>
      <c r="E104" t="s">
        <v>215</v>
      </c>
    </row>
    <row r="105" spans="4:18" x14ac:dyDescent="0.25">
      <c r="D105" s="2" t="s">
        <v>109</v>
      </c>
      <c r="E105" t="s">
        <v>219</v>
      </c>
    </row>
    <row r="106" spans="4:18" x14ac:dyDescent="0.25">
      <c r="D106" s="2" t="s">
        <v>119</v>
      </c>
      <c r="E106" t="s">
        <v>220</v>
      </c>
    </row>
  </sheetData>
  <mergeCells count="11">
    <mergeCell ref="X4:Z4"/>
    <mergeCell ref="D4:F4"/>
    <mergeCell ref="H4:J4"/>
    <mergeCell ref="L4:N4"/>
    <mergeCell ref="P4:R4"/>
    <mergeCell ref="T4:V4"/>
    <mergeCell ref="D92:F92"/>
    <mergeCell ref="H92:J92"/>
    <mergeCell ref="L92:N92"/>
    <mergeCell ref="P92:R92"/>
    <mergeCell ref="A66:B66"/>
  </mergeCells>
  <printOptions horizontalCentered="1"/>
  <pageMargins left="0.25" right="0.25" top="0.75" bottom="0.75" header="0.3" footer="0.3"/>
  <pageSetup paperSize="5" scale="62" fitToHeight="0" orientation="landscape" r:id="rId1"/>
  <headerFooter>
    <oddFooter>&amp;L&amp;F&amp;CPage &amp;P of &amp;N&amp;R27 January 2014</oddFooter>
  </headerFooter>
  <rowBreaks count="1" manualBreakCount="1">
    <brk id="65"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pageSetUpPr fitToPage="1"/>
  </sheetPr>
  <dimension ref="A1:Z108"/>
  <sheetViews>
    <sheetView workbookViewId="0">
      <pane xSplit="2" ySplit="6" topLeftCell="C43" activePane="bottomRight" state="frozen"/>
      <selection activeCell="C9" sqref="C9"/>
      <selection pane="topRight" activeCell="C9" sqref="C9"/>
      <selection pane="bottomLeft" activeCell="C9" sqref="C9"/>
      <selection pane="bottomRight" activeCell="A74" sqref="A74"/>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196</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1:26" x14ac:dyDescent="0.25">
      <c r="B7" s="2" t="s">
        <v>41</v>
      </c>
      <c r="C7" s="2"/>
      <c r="D7" s="8">
        <f>'FY11'!D61</f>
        <v>350954.8</v>
      </c>
      <c r="E7" s="8">
        <f>'FY11'!E61</f>
        <v>106762.25</v>
      </c>
      <c r="F7" s="8">
        <f>D7+E7</f>
        <v>457717.05</v>
      </c>
      <c r="H7" s="8">
        <f>'FY11'!H61</f>
        <v>167832.51</v>
      </c>
      <c r="I7" s="8">
        <f>'FY11'!I61</f>
        <v>5370.45</v>
      </c>
      <c r="J7" s="8">
        <f>H7+I7</f>
        <v>173202.96000000002</v>
      </c>
      <c r="L7" s="8">
        <f>'FY11'!L61</f>
        <v>21500</v>
      </c>
      <c r="M7" s="8">
        <f>'FY11'!M61</f>
        <v>5192.3</v>
      </c>
      <c r="N7" s="8">
        <f>L7+M7</f>
        <v>26692.3</v>
      </c>
      <c r="P7" s="8">
        <f>'FY11'!P61</f>
        <v>94831.37</v>
      </c>
      <c r="Q7" s="8">
        <f>'FY11'!Q61</f>
        <v>464318.46</v>
      </c>
      <c r="R7" s="8">
        <f>P7+Q7</f>
        <v>559149.83000000007</v>
      </c>
      <c r="T7" s="8">
        <f>'FY11'!T61</f>
        <v>0</v>
      </c>
      <c r="U7" s="8">
        <f>'FY11'!U61</f>
        <v>0</v>
      </c>
      <c r="V7" s="8">
        <f>T7+U7</f>
        <v>0</v>
      </c>
      <c r="X7" s="8">
        <f>D7+H7+L7+P7+T7</f>
        <v>635118.68000000005</v>
      </c>
      <c r="Y7" s="8">
        <f>E7+I7+M7+Q7+U7</f>
        <v>581643.46</v>
      </c>
      <c r="Z7" s="8">
        <f>F7+J7+N7+R7+V7</f>
        <v>1216762.1400000001</v>
      </c>
    </row>
    <row r="9" spans="1:26" x14ac:dyDescent="0.25">
      <c r="B9" s="5" t="s">
        <v>11</v>
      </c>
      <c r="C9" s="5"/>
      <c r="T9" s="1"/>
      <c r="U9" s="1"/>
      <c r="V9" s="1"/>
      <c r="X9" s="8">
        <f t="shared" ref="X9:Z15" si="0">D9+H9+L9+P9+T9</f>
        <v>0</v>
      </c>
      <c r="Y9" s="8">
        <f t="shared" si="0"/>
        <v>0</v>
      </c>
      <c r="Z9" s="8">
        <f t="shared" si="0"/>
        <v>0</v>
      </c>
    </row>
    <row r="10" spans="1:26" x14ac:dyDescent="0.25">
      <c r="B10" s="2" t="s">
        <v>737</v>
      </c>
      <c r="C10" s="2"/>
      <c r="D10" s="9">
        <v>0</v>
      </c>
      <c r="E10" s="9">
        <f>ROUND(529816.48/10,2)</f>
        <v>52981.65</v>
      </c>
      <c r="F10" s="8">
        <f>D10+E10</f>
        <v>52981.65</v>
      </c>
      <c r="H10" s="9">
        <v>0</v>
      </c>
      <c r="I10" s="9">
        <f>ROUND(529816.48/10,2)</f>
        <v>52981.65</v>
      </c>
      <c r="J10" s="8">
        <f>H10+I10</f>
        <v>52981.65</v>
      </c>
      <c r="L10" s="9">
        <v>0</v>
      </c>
      <c r="M10" s="9">
        <f>ROUND(529816.48/10,2)</f>
        <v>52981.65</v>
      </c>
      <c r="N10" s="8">
        <f>L10+M10</f>
        <v>52981.65</v>
      </c>
      <c r="P10" s="9">
        <v>0</v>
      </c>
      <c r="Q10" s="9">
        <f>529816.48-E10-I10-M10</f>
        <v>370871.52999999991</v>
      </c>
      <c r="R10" s="8">
        <f>P10+Q10</f>
        <v>370871.52999999991</v>
      </c>
      <c r="T10" s="1"/>
      <c r="U10" s="1"/>
      <c r="V10" s="1"/>
      <c r="X10" s="8">
        <f t="shared" si="0"/>
        <v>0</v>
      </c>
      <c r="Y10" s="8">
        <f t="shared" si="0"/>
        <v>529816.48</v>
      </c>
      <c r="Z10" s="8">
        <f t="shared" si="0"/>
        <v>529816.48</v>
      </c>
    </row>
    <row r="11" spans="1:26" x14ac:dyDescent="0.25">
      <c r="B11" s="2" t="s">
        <v>5</v>
      </c>
      <c r="C11" s="2"/>
      <c r="D11" s="9">
        <v>0</v>
      </c>
      <c r="E11" s="9">
        <f>4259.6/10</f>
        <v>425.96000000000004</v>
      </c>
      <c r="F11" s="8">
        <f>D11+E11</f>
        <v>425.96000000000004</v>
      </c>
      <c r="H11" s="9">
        <v>0</v>
      </c>
      <c r="I11" s="9">
        <f>4259.6/10</f>
        <v>425.96000000000004</v>
      </c>
      <c r="J11" s="8">
        <f>H11+I11</f>
        <v>425.96000000000004</v>
      </c>
      <c r="L11" s="9">
        <v>0</v>
      </c>
      <c r="M11" s="9">
        <f>4259.6/10</f>
        <v>425.96000000000004</v>
      </c>
      <c r="N11" s="8">
        <f>L11+M11</f>
        <v>425.96000000000004</v>
      </c>
      <c r="P11" s="9">
        <v>0</v>
      </c>
      <c r="Q11" s="9">
        <f>4259.6-E11-I11-M11</f>
        <v>2981.7200000000003</v>
      </c>
      <c r="R11" s="8">
        <f>P11+Q11</f>
        <v>2981.7200000000003</v>
      </c>
      <c r="T11" s="1"/>
      <c r="U11" s="1"/>
      <c r="V11" s="1"/>
      <c r="X11" s="8">
        <f t="shared" si="0"/>
        <v>0</v>
      </c>
      <c r="Y11" s="8">
        <f t="shared" si="0"/>
        <v>4259.6000000000004</v>
      </c>
      <c r="Z11" s="8">
        <f t="shared" si="0"/>
        <v>4259.6000000000004</v>
      </c>
    </row>
    <row r="12" spans="1:26" x14ac:dyDescent="0.25">
      <c r="B12" s="2" t="s">
        <v>46</v>
      </c>
      <c r="C12" s="2"/>
      <c r="D12" s="9">
        <v>0</v>
      </c>
      <c r="E12" s="9">
        <f>198435/10</f>
        <v>19843.5</v>
      </c>
      <c r="F12" s="8">
        <f>D12+E12</f>
        <v>19843.5</v>
      </c>
      <c r="H12" s="9">
        <v>0</v>
      </c>
      <c r="I12" s="9">
        <f>198435/10</f>
        <v>19843.5</v>
      </c>
      <c r="J12" s="8">
        <f>H12+I12</f>
        <v>19843.5</v>
      </c>
      <c r="L12" s="9">
        <v>0</v>
      </c>
      <c r="M12" s="9">
        <f>198435/10</f>
        <v>19843.5</v>
      </c>
      <c r="N12" s="8">
        <f>L12+M12</f>
        <v>19843.5</v>
      </c>
      <c r="P12" s="9">
        <v>0</v>
      </c>
      <c r="Q12" s="9">
        <f>198435-E12-I12-M12</f>
        <v>138904.5</v>
      </c>
      <c r="R12" s="8">
        <f>P12+Q12</f>
        <v>138904.5</v>
      </c>
      <c r="T12" s="1"/>
      <c r="U12" s="1"/>
      <c r="V12" s="1"/>
      <c r="X12" s="8">
        <f t="shared" si="0"/>
        <v>0</v>
      </c>
      <c r="Y12" s="8">
        <f t="shared" si="0"/>
        <v>198435</v>
      </c>
      <c r="Z12" s="8">
        <f t="shared" si="0"/>
        <v>198435</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49</v>
      </c>
      <c r="C14" s="2"/>
      <c r="D14" s="14">
        <v>0</v>
      </c>
      <c r="E14" s="14">
        <f>ROUND(3258.21/10,2)</f>
        <v>325.82</v>
      </c>
      <c r="F14" s="15">
        <f>D14+E14</f>
        <v>325.82</v>
      </c>
      <c r="H14" s="14">
        <v>0</v>
      </c>
      <c r="I14" s="14">
        <f>ROUND(3258.21/10,2)</f>
        <v>325.82</v>
      </c>
      <c r="J14" s="15">
        <f>H14+I14</f>
        <v>325.82</v>
      </c>
      <c r="L14" s="14">
        <v>0</v>
      </c>
      <c r="M14" s="14">
        <f>ROUND(3258.21/10,2)</f>
        <v>325.82</v>
      </c>
      <c r="N14" s="15">
        <f>L14+M14</f>
        <v>325.82</v>
      </c>
      <c r="P14" s="14">
        <v>0</v>
      </c>
      <c r="Q14" s="14">
        <f>3258.21-E14-I14-M14</f>
        <v>2280.7499999999995</v>
      </c>
      <c r="R14" s="15">
        <f>P14+Q14</f>
        <v>2280.7499999999995</v>
      </c>
      <c r="X14" s="15">
        <f t="shared" si="0"/>
        <v>0</v>
      </c>
      <c r="Y14" s="15">
        <f t="shared" si="0"/>
        <v>3258.2099999999996</v>
      </c>
      <c r="Z14" s="15">
        <f t="shared" si="0"/>
        <v>3258.2099999999996</v>
      </c>
    </row>
    <row r="15" spans="1:26" x14ac:dyDescent="0.25">
      <c r="B15" s="2" t="s">
        <v>28</v>
      </c>
      <c r="C15" s="2"/>
      <c r="D15" s="26">
        <f>SUM(D10:D14)</f>
        <v>0</v>
      </c>
      <c r="E15" s="26">
        <f>SUM(E10:E14)</f>
        <v>73576.930000000008</v>
      </c>
      <c r="F15" s="26">
        <f>D15+E15</f>
        <v>73576.930000000008</v>
      </c>
      <c r="H15" s="26">
        <f>SUM(H10:H14)</f>
        <v>0</v>
      </c>
      <c r="I15" s="26">
        <f>SUM(I10:I14)</f>
        <v>73576.930000000008</v>
      </c>
      <c r="J15" s="26">
        <f>H15+I15</f>
        <v>73576.930000000008</v>
      </c>
      <c r="L15" s="26">
        <f>SUM(L10:L14)</f>
        <v>0</v>
      </c>
      <c r="M15" s="26">
        <f>SUM(M10:M14)</f>
        <v>73576.930000000008</v>
      </c>
      <c r="N15" s="26">
        <f>L15+M15</f>
        <v>73576.930000000008</v>
      </c>
      <c r="P15" s="26">
        <f>SUM(P10:P14)</f>
        <v>0</v>
      </c>
      <c r="Q15" s="26">
        <f>SUM(Q10:Q14)</f>
        <v>515038.49999999988</v>
      </c>
      <c r="R15" s="26">
        <f>P15+Q15</f>
        <v>515038.49999999988</v>
      </c>
      <c r="S15" s="1"/>
      <c r="T15" s="26">
        <f>SUM(T10:T14)</f>
        <v>0</v>
      </c>
      <c r="U15" s="26">
        <f>SUM(U10:U14)</f>
        <v>0</v>
      </c>
      <c r="V15" s="26">
        <f>T15+U15</f>
        <v>0</v>
      </c>
      <c r="X15" s="26">
        <f t="shared" si="0"/>
        <v>0</v>
      </c>
      <c r="Y15" s="26">
        <f t="shared" si="0"/>
        <v>735769.28999999992</v>
      </c>
      <c r="Z15" s="26">
        <f t="shared" si="0"/>
        <v>735769.28999999992</v>
      </c>
    </row>
    <row r="16" spans="1:26" x14ac:dyDescent="0.25">
      <c r="D16" s="1"/>
      <c r="E16" s="1"/>
      <c r="F16" s="1"/>
      <c r="H16" s="1"/>
      <c r="I16" s="1"/>
      <c r="J16" s="1"/>
      <c r="L16" s="1"/>
      <c r="M16" s="1"/>
      <c r="N16" s="1"/>
      <c r="P16" s="1"/>
      <c r="Q16" s="1"/>
      <c r="R16" s="1"/>
      <c r="T16" s="1"/>
      <c r="U16" s="1"/>
      <c r="V16" s="1"/>
    </row>
    <row r="17" spans="2:26" x14ac:dyDescent="0.25">
      <c r="B17" s="5" t="s">
        <v>99</v>
      </c>
      <c r="C17" s="5"/>
      <c r="D17" s="1"/>
      <c r="E17" s="1"/>
      <c r="F17" s="1"/>
      <c r="H17" s="1"/>
      <c r="I17" s="1"/>
      <c r="J17" s="1"/>
      <c r="L17" s="1"/>
      <c r="M17" s="1"/>
      <c r="N17" s="1"/>
      <c r="P17" s="1"/>
      <c r="Q17" s="1"/>
      <c r="R17" s="1"/>
      <c r="T17" s="1"/>
      <c r="U17" s="1"/>
      <c r="V17" s="1"/>
    </row>
    <row r="18" spans="2:26" x14ac:dyDescent="0.25">
      <c r="B18" s="2" t="s">
        <v>100</v>
      </c>
      <c r="C18" s="2"/>
      <c r="H18" s="1"/>
      <c r="I18" s="1"/>
      <c r="J18" s="1"/>
      <c r="L18" s="1"/>
      <c r="M18" s="1"/>
      <c r="N18" s="1"/>
      <c r="P18" s="9">
        <v>0</v>
      </c>
      <c r="Q18" s="9">
        <f>-T18</f>
        <v>-34250</v>
      </c>
      <c r="R18" s="8">
        <f>P18+Q18</f>
        <v>-34250</v>
      </c>
      <c r="T18" s="9">
        <f>ROUND(19.94*7*52.2,2) + ROUND(21.78*19*52.2,2) + 2500 + 2862.52</f>
        <v>34250</v>
      </c>
      <c r="U18" s="9">
        <v>0</v>
      </c>
      <c r="V18" s="8">
        <f>T18+U18</f>
        <v>34250</v>
      </c>
      <c r="X18" s="8">
        <f t="shared" ref="X18:Z24" si="8">D18+H18+L18+P18+T18</f>
        <v>34250</v>
      </c>
      <c r="Y18" s="8">
        <f t="shared" si="8"/>
        <v>-34250</v>
      </c>
      <c r="Z18" s="8">
        <f t="shared" si="8"/>
        <v>0</v>
      </c>
    </row>
    <row r="19" spans="2:26" x14ac:dyDescent="0.25">
      <c r="B19" s="2" t="s">
        <v>82</v>
      </c>
      <c r="C19" s="6" t="s">
        <v>17</v>
      </c>
      <c r="L19" s="9">
        <f>90000-21500</f>
        <v>68500</v>
      </c>
      <c r="M19" s="9">
        <f>-L19</f>
        <v>-68500</v>
      </c>
      <c r="N19" s="8">
        <f>L19+M19</f>
        <v>0</v>
      </c>
      <c r="P19" s="9">
        <f>488762.5 - 90000</f>
        <v>398762.5</v>
      </c>
      <c r="Q19" s="9">
        <f>-P19</f>
        <v>-398762.5</v>
      </c>
      <c r="R19" s="8">
        <f>P19+Q19</f>
        <v>0</v>
      </c>
      <c r="X19" s="8">
        <f t="shared" ref="X19" si="9">D19+H19+L19+P19+T19</f>
        <v>467262.5</v>
      </c>
      <c r="Y19" s="8">
        <f t="shared" ref="Y19" si="10">E19+I19+M19+Q19+U19</f>
        <v>-467262.5</v>
      </c>
      <c r="Z19" s="8">
        <f t="shared" ref="Z19" si="11">F19+J19+N19+R19+V19</f>
        <v>0</v>
      </c>
    </row>
    <row r="20" spans="2:26" x14ac:dyDescent="0.25">
      <c r="B20" s="2" t="s">
        <v>136</v>
      </c>
      <c r="C20" s="6" t="s">
        <v>159</v>
      </c>
      <c r="D20" s="9">
        <f>412000-343500</f>
        <v>68500</v>
      </c>
      <c r="E20" s="8">
        <f>-D20</f>
        <v>-68500</v>
      </c>
      <c r="F20" s="8">
        <f>D20+E20</f>
        <v>0</v>
      </c>
      <c r="L20" s="1"/>
      <c r="M20" s="1"/>
      <c r="N20" s="1"/>
      <c r="X20" s="8">
        <f t="shared" si="8"/>
        <v>68500</v>
      </c>
      <c r="Y20" s="8">
        <f t="shared" si="8"/>
        <v>-68500</v>
      </c>
      <c r="Z20" s="8">
        <f t="shared" si="8"/>
        <v>0</v>
      </c>
    </row>
    <row r="21" spans="2:26" x14ac:dyDescent="0.25">
      <c r="B21" s="2" t="s">
        <v>139</v>
      </c>
      <c r="C21" s="6" t="s">
        <v>160</v>
      </c>
      <c r="H21" s="9">
        <v>50000</v>
      </c>
      <c r="I21" s="9">
        <f>-H21</f>
        <v>-50000</v>
      </c>
      <c r="J21" s="8">
        <f>H21+I21</f>
        <v>0</v>
      </c>
      <c r="L21" s="1"/>
      <c r="M21" s="1"/>
      <c r="N21" s="1"/>
      <c r="X21" s="8">
        <f t="shared" si="8"/>
        <v>50000</v>
      </c>
      <c r="Y21" s="8">
        <f t="shared" si="8"/>
        <v>-50000</v>
      </c>
      <c r="Z21" s="8">
        <f t="shared" si="8"/>
        <v>0</v>
      </c>
    </row>
    <row r="22" spans="2:26" x14ac:dyDescent="0.25">
      <c r="B22" s="2" t="s">
        <v>137</v>
      </c>
      <c r="C22" s="6" t="s">
        <v>161</v>
      </c>
      <c r="H22" s="1"/>
      <c r="I22" s="1"/>
      <c r="J22" s="1"/>
      <c r="L22" s="1"/>
      <c r="M22" s="1"/>
      <c r="N22" s="1"/>
      <c r="P22" s="9">
        <v>25350</v>
      </c>
      <c r="Q22" s="8">
        <f>-P22</f>
        <v>-25350</v>
      </c>
      <c r="R22" s="8">
        <f>P22+Q22</f>
        <v>0</v>
      </c>
      <c r="X22" s="8">
        <f t="shared" si="8"/>
        <v>25350</v>
      </c>
      <c r="Y22" s="8">
        <f t="shared" si="8"/>
        <v>-25350</v>
      </c>
      <c r="Z22" s="8">
        <f t="shared" si="8"/>
        <v>0</v>
      </c>
    </row>
    <row r="23" spans="2:26" ht="15.75" thickBot="1" x14ac:dyDescent="0.3">
      <c r="B23" s="2" t="s">
        <v>138</v>
      </c>
      <c r="C23" s="6" t="s">
        <v>162</v>
      </c>
      <c r="H23" s="9">
        <f>159025-140525</f>
        <v>18500</v>
      </c>
      <c r="I23" s="9">
        <f>-H23</f>
        <v>-18500</v>
      </c>
      <c r="J23" s="8">
        <f>H23+I23</f>
        <v>0</v>
      </c>
      <c r="L23" s="1"/>
      <c r="M23" s="1"/>
      <c r="N23" s="1"/>
      <c r="P23" s="9">
        <v>17500</v>
      </c>
      <c r="Q23" s="8">
        <f>-P23</f>
        <v>-17500</v>
      </c>
      <c r="R23" s="8">
        <f>P23+Q23</f>
        <v>0</v>
      </c>
      <c r="X23" s="8">
        <f t="shared" si="8"/>
        <v>36000</v>
      </c>
      <c r="Y23" s="8">
        <f t="shared" si="8"/>
        <v>-36000</v>
      </c>
      <c r="Z23" s="8">
        <f t="shared" si="8"/>
        <v>0</v>
      </c>
    </row>
    <row r="24" spans="2:26" x14ac:dyDescent="0.25">
      <c r="B24" s="2" t="s">
        <v>47</v>
      </c>
      <c r="C24" s="2"/>
      <c r="D24" s="26">
        <f>SUM(D18:D23)</f>
        <v>68500</v>
      </c>
      <c r="E24" s="26">
        <f>SUM(E18:E23)</f>
        <v>-68500</v>
      </c>
      <c r="F24" s="26">
        <f>D24+E24</f>
        <v>0</v>
      </c>
      <c r="H24" s="26">
        <f>SUM(H18:H23)</f>
        <v>68500</v>
      </c>
      <c r="I24" s="26">
        <f>SUM(I18:I23)</f>
        <v>-68500</v>
      </c>
      <c r="J24" s="26">
        <f>H24+I24</f>
        <v>0</v>
      </c>
      <c r="L24" s="26">
        <f>SUM(L18:L23)</f>
        <v>68500</v>
      </c>
      <c r="M24" s="26">
        <f>SUM(M18:M23)</f>
        <v>-68500</v>
      </c>
      <c r="N24" s="26">
        <f>L24+M24</f>
        <v>0</v>
      </c>
      <c r="P24" s="26">
        <f>SUM(P18:P23)</f>
        <v>441612.5</v>
      </c>
      <c r="Q24" s="26">
        <f>SUM(Q18:Q23)</f>
        <v>-475862.5</v>
      </c>
      <c r="R24" s="26">
        <f>P24+Q24</f>
        <v>-34250</v>
      </c>
      <c r="S24" s="1"/>
      <c r="T24" s="26">
        <f>SUM(T18:T23)</f>
        <v>34250</v>
      </c>
      <c r="U24" s="26">
        <f>SUM(U18:U23)</f>
        <v>0</v>
      </c>
      <c r="V24" s="26">
        <f>T24+U24</f>
        <v>34250</v>
      </c>
      <c r="X24" s="26">
        <f t="shared" si="8"/>
        <v>681362.5</v>
      </c>
      <c r="Y24" s="26">
        <f t="shared" si="8"/>
        <v>-681362.5</v>
      </c>
      <c r="Z24" s="26">
        <f t="shared" si="8"/>
        <v>0</v>
      </c>
    </row>
    <row r="25" spans="2:26" x14ac:dyDescent="0.25">
      <c r="H25" s="1"/>
      <c r="I25" s="1"/>
      <c r="J25" s="1"/>
      <c r="L25" s="1"/>
      <c r="M25" s="1"/>
      <c r="N25" s="1"/>
      <c r="P25" s="1"/>
      <c r="Q25" s="1"/>
      <c r="R25" s="1"/>
    </row>
    <row r="26" spans="2:26" x14ac:dyDescent="0.25">
      <c r="B26" s="5" t="s">
        <v>8</v>
      </c>
      <c r="C26" s="5"/>
      <c r="H26" s="1"/>
      <c r="I26" s="1"/>
      <c r="J26" s="1"/>
      <c r="L26" s="1"/>
      <c r="M26" s="1"/>
      <c r="N26" s="1"/>
      <c r="P26" s="1"/>
    </row>
    <row r="27" spans="2:26" x14ac:dyDescent="0.25">
      <c r="B27" s="2" t="s">
        <v>7</v>
      </c>
      <c r="C27" s="2"/>
      <c r="D27" s="1"/>
      <c r="E27" s="1"/>
      <c r="F27" s="1"/>
      <c r="H27" s="1"/>
      <c r="I27" s="1"/>
      <c r="J27" s="1"/>
      <c r="L27" s="1"/>
      <c r="M27" s="1"/>
      <c r="N27" s="1"/>
      <c r="P27" s="1"/>
      <c r="R27" s="1"/>
      <c r="T27" s="9">
        <f>-27823.12</f>
        <v>-27823.119999999999</v>
      </c>
      <c r="U27" s="9">
        <v>0</v>
      </c>
      <c r="V27" s="8">
        <f>T27+U27</f>
        <v>-27823.119999999999</v>
      </c>
      <c r="X27" s="8">
        <f t="shared" ref="X27:Y34" si="12">D27+H27+L27+P27+T27</f>
        <v>-27823.119999999999</v>
      </c>
      <c r="Y27" s="8">
        <f t="shared" si="12"/>
        <v>0</v>
      </c>
      <c r="Z27" s="8">
        <f t="shared" ref="Z27:Z34" si="13">X27+Y27</f>
        <v>-27823.119999999999</v>
      </c>
    </row>
    <row r="28" spans="2:26" x14ac:dyDescent="0.25">
      <c r="B28" s="2" t="s">
        <v>52</v>
      </c>
      <c r="C28" s="2"/>
      <c r="D28" s="1"/>
      <c r="E28" s="1"/>
      <c r="F28" s="1"/>
      <c r="H28" s="1"/>
      <c r="I28" s="1"/>
      <c r="J28" s="1"/>
      <c r="L28" s="1"/>
      <c r="M28" s="1"/>
      <c r="N28" s="1"/>
      <c r="P28" s="1"/>
      <c r="Q28" s="1"/>
      <c r="R28" s="1"/>
      <c r="T28" s="9">
        <v>-2545</v>
      </c>
      <c r="U28" s="9">
        <v>0</v>
      </c>
      <c r="V28" s="8">
        <f>T28+U28</f>
        <v>-2545</v>
      </c>
      <c r="X28" s="8">
        <f t="shared" si="12"/>
        <v>-2545</v>
      </c>
      <c r="Y28" s="8">
        <f t="shared" si="12"/>
        <v>0</v>
      </c>
      <c r="Z28" s="8">
        <f t="shared" si="13"/>
        <v>-2545</v>
      </c>
    </row>
    <row r="29" spans="2:26" x14ac:dyDescent="0.25">
      <c r="B29" s="2" t="s">
        <v>82</v>
      </c>
      <c r="C29" s="6" t="s">
        <v>17</v>
      </c>
      <c r="D29" s="1"/>
      <c r="E29" s="1"/>
      <c r="F29" s="1"/>
      <c r="L29" s="9">
        <v>-90000</v>
      </c>
      <c r="M29" s="9">
        <v>0</v>
      </c>
      <c r="N29" s="8">
        <f>L29+M29</f>
        <v>-90000</v>
      </c>
      <c r="P29" s="9">
        <f>-488762.56 + 90000</f>
        <v>-398762.56</v>
      </c>
      <c r="Q29" s="9">
        <v>0</v>
      </c>
      <c r="R29" s="8">
        <f>P29+Q29</f>
        <v>-398762.56</v>
      </c>
      <c r="X29" s="8">
        <f t="shared" si="12"/>
        <v>-488762.56</v>
      </c>
      <c r="Y29" s="8">
        <f t="shared" si="12"/>
        <v>0</v>
      </c>
      <c r="Z29" s="8">
        <f t="shared" si="13"/>
        <v>-488762.56</v>
      </c>
    </row>
    <row r="30" spans="2:26" x14ac:dyDescent="0.25">
      <c r="B30" s="2" t="s">
        <v>539</v>
      </c>
      <c r="C30" s="6" t="s">
        <v>18</v>
      </c>
      <c r="D30" s="1"/>
      <c r="E30" s="1"/>
      <c r="F30" s="1"/>
      <c r="H30" s="1"/>
      <c r="I30" s="1"/>
      <c r="J30" s="1"/>
      <c r="L30" s="1"/>
      <c r="M30" s="1"/>
      <c r="N30" s="1"/>
      <c r="P30" s="9">
        <v>-636</v>
      </c>
      <c r="Q30" s="9">
        <v>0</v>
      </c>
      <c r="R30" s="8">
        <f>P30+Q30</f>
        <v>-636</v>
      </c>
      <c r="X30" s="8">
        <f t="shared" ref="X30" si="14">D30+H30+L30+P30+T30</f>
        <v>-636</v>
      </c>
      <c r="Y30" s="8">
        <f t="shared" ref="Y30" si="15">E30+I30+M30+Q30+U30</f>
        <v>0</v>
      </c>
      <c r="Z30" s="8">
        <f t="shared" ref="Z30" si="16">X30+Y30</f>
        <v>-636</v>
      </c>
    </row>
    <row r="31" spans="2:26" x14ac:dyDescent="0.25">
      <c r="B31" s="2" t="s">
        <v>480</v>
      </c>
      <c r="C31" s="6" t="s">
        <v>19</v>
      </c>
      <c r="D31" s="9">
        <v>0</v>
      </c>
      <c r="E31" s="9">
        <v>0</v>
      </c>
      <c r="F31" s="8">
        <f>D31+E31</f>
        <v>0</v>
      </c>
      <c r="L31" s="1"/>
      <c r="M31" s="1"/>
      <c r="N31" s="1"/>
      <c r="P31" s="1"/>
      <c r="X31" s="8">
        <f t="shared" si="12"/>
        <v>0</v>
      </c>
      <c r="Y31" s="8">
        <f t="shared" si="12"/>
        <v>0</v>
      </c>
      <c r="Z31" s="8">
        <f t="shared" si="13"/>
        <v>0</v>
      </c>
    </row>
    <row r="32" spans="2:26" x14ac:dyDescent="0.25">
      <c r="B32" s="2" t="s">
        <v>1</v>
      </c>
      <c r="C32" s="6" t="s">
        <v>20</v>
      </c>
      <c r="D32" s="1"/>
      <c r="E32" s="1"/>
      <c r="F32" s="1"/>
      <c r="H32" s="1"/>
      <c r="I32" s="1"/>
      <c r="J32" s="1"/>
      <c r="L32" s="1"/>
      <c r="M32" s="1"/>
      <c r="N32" s="1"/>
      <c r="P32" s="9">
        <v>-54001.5</v>
      </c>
      <c r="Q32" s="9">
        <v>0</v>
      </c>
      <c r="R32" s="8">
        <f>P32+Q32</f>
        <v>-54001.5</v>
      </c>
      <c r="X32" s="8">
        <f t="shared" ref="X32" si="17">D32+H32+L32+P32+T32</f>
        <v>-54001.5</v>
      </c>
      <c r="Y32" s="8">
        <f t="shared" ref="Y32" si="18">E32+I32+M32+Q32+U32</f>
        <v>0</v>
      </c>
      <c r="Z32" s="8">
        <f t="shared" ref="Z32" si="19">X32+Y32</f>
        <v>-54001.5</v>
      </c>
    </row>
    <row r="33" spans="2:26" x14ac:dyDescent="0.25">
      <c r="B33" s="2" t="s">
        <v>112</v>
      </c>
      <c r="C33" s="6" t="s">
        <v>22</v>
      </c>
      <c r="D33" s="1"/>
      <c r="E33" s="1"/>
      <c r="F33" s="1"/>
      <c r="H33" s="9">
        <v>-8677.51</v>
      </c>
      <c r="I33" s="9">
        <v>0</v>
      </c>
      <c r="J33" s="8">
        <f>H33+I33</f>
        <v>-8677.51</v>
      </c>
      <c r="L33" s="1"/>
      <c r="M33" s="1"/>
      <c r="N33" s="1"/>
      <c r="P33" s="1"/>
      <c r="X33" s="8">
        <f t="shared" si="12"/>
        <v>-8677.51</v>
      </c>
      <c r="Y33" s="8">
        <f t="shared" si="12"/>
        <v>0</v>
      </c>
      <c r="Z33" s="8">
        <f t="shared" si="13"/>
        <v>-8677.51</v>
      </c>
    </row>
    <row r="34" spans="2:26" x14ac:dyDescent="0.25">
      <c r="B34" s="2" t="s">
        <v>97</v>
      </c>
      <c r="C34" s="6" t="s">
        <v>25</v>
      </c>
      <c r="D34" s="1"/>
      <c r="E34" s="1"/>
      <c r="F34" s="1"/>
      <c r="H34" s="9">
        <v>-11949.08</v>
      </c>
      <c r="I34" s="9">
        <v>0</v>
      </c>
      <c r="J34" s="8">
        <f>H34+I34</f>
        <v>-11949.08</v>
      </c>
      <c r="L34" s="1"/>
      <c r="M34" s="1"/>
      <c r="N34" s="1"/>
      <c r="P34" s="1"/>
      <c r="X34" s="8">
        <f t="shared" si="12"/>
        <v>-11949.08</v>
      </c>
      <c r="Y34" s="8">
        <f t="shared" si="12"/>
        <v>0</v>
      </c>
      <c r="Z34" s="8">
        <f t="shared" si="13"/>
        <v>-11949.08</v>
      </c>
    </row>
    <row r="35" spans="2:26" x14ac:dyDescent="0.25">
      <c r="B35" s="2" t="s">
        <v>136</v>
      </c>
      <c r="C35" s="6" t="s">
        <v>159</v>
      </c>
      <c r="D35" s="9">
        <v>-412000</v>
      </c>
      <c r="E35" s="9">
        <v>0</v>
      </c>
      <c r="F35" s="8">
        <f>D35+E35</f>
        <v>-412000</v>
      </c>
      <c r="H35" s="1"/>
      <c r="I35" s="1"/>
      <c r="J35" s="1"/>
      <c r="L35" s="1"/>
      <c r="M35" s="1"/>
      <c r="N35" s="1"/>
      <c r="P35" s="1"/>
      <c r="X35" s="8">
        <f t="shared" ref="X35:Y38" si="20">D35+H35+L35+P35+T35</f>
        <v>-412000</v>
      </c>
      <c r="Y35" s="8">
        <f t="shared" si="20"/>
        <v>0</v>
      </c>
      <c r="Z35" s="8">
        <f t="shared" ref="Z35:Z39" si="21">X35+Y35</f>
        <v>-412000</v>
      </c>
    </row>
    <row r="36" spans="2:26" x14ac:dyDescent="0.25">
      <c r="B36" s="2" t="s">
        <v>139</v>
      </c>
      <c r="C36" s="6" t="s">
        <v>160</v>
      </c>
      <c r="H36" s="9">
        <f>-50000+5805</f>
        <v>-44195</v>
      </c>
      <c r="I36" s="9">
        <v>0</v>
      </c>
      <c r="J36" s="8">
        <f>H36+I36</f>
        <v>-44195</v>
      </c>
      <c r="L36" s="1"/>
      <c r="M36" s="1"/>
      <c r="N36" s="1"/>
      <c r="P36" s="1"/>
      <c r="X36" s="8">
        <f t="shared" si="20"/>
        <v>-44195</v>
      </c>
      <c r="Y36" s="8">
        <f t="shared" si="20"/>
        <v>0</v>
      </c>
      <c r="Z36" s="8">
        <f t="shared" si="21"/>
        <v>-44195</v>
      </c>
    </row>
    <row r="37" spans="2:26" x14ac:dyDescent="0.25">
      <c r="B37" s="2" t="s">
        <v>137</v>
      </c>
      <c r="C37" s="6" t="s">
        <v>161</v>
      </c>
      <c r="H37" s="1"/>
      <c r="I37" s="1"/>
      <c r="J37" s="1"/>
      <c r="L37" s="1"/>
      <c r="M37" s="1"/>
      <c r="N37" s="1"/>
      <c r="P37" s="9">
        <v>-25000</v>
      </c>
      <c r="Q37" s="9">
        <v>0</v>
      </c>
      <c r="R37" s="8">
        <f>P37+Q37</f>
        <v>-25000</v>
      </c>
      <c r="X37" s="8">
        <f t="shared" si="20"/>
        <v>-25000</v>
      </c>
      <c r="Y37" s="8">
        <f t="shared" si="20"/>
        <v>0</v>
      </c>
      <c r="Z37" s="8">
        <f t="shared" si="21"/>
        <v>-25000</v>
      </c>
    </row>
    <row r="38" spans="2:26" ht="15.75" thickBot="1" x14ac:dyDescent="0.3">
      <c r="B38" s="2" t="s">
        <v>138</v>
      </c>
      <c r="C38" s="6" t="s">
        <v>162</v>
      </c>
      <c r="H38" s="9">
        <v>-45712.65</v>
      </c>
      <c r="I38" s="9">
        <v>0</v>
      </c>
      <c r="J38" s="8">
        <f>H38+I38</f>
        <v>-45712.65</v>
      </c>
      <c r="L38" s="1"/>
      <c r="M38" s="1"/>
      <c r="N38" s="1"/>
      <c r="P38" s="9">
        <v>0</v>
      </c>
      <c r="Q38" s="9">
        <v>0</v>
      </c>
      <c r="R38" s="8">
        <f>P38+Q38</f>
        <v>0</v>
      </c>
      <c r="X38" s="8">
        <f t="shared" si="20"/>
        <v>-45712.65</v>
      </c>
      <c r="Y38" s="8">
        <f t="shared" si="20"/>
        <v>0</v>
      </c>
      <c r="Z38" s="8">
        <f t="shared" si="21"/>
        <v>-45712.65</v>
      </c>
    </row>
    <row r="39" spans="2:26" x14ac:dyDescent="0.25">
      <c r="B39" s="2" t="s">
        <v>31</v>
      </c>
      <c r="C39" s="2"/>
      <c r="D39" s="26">
        <f>SUM(D27:D38)</f>
        <v>-412000</v>
      </c>
      <c r="E39" s="26">
        <f>SUM(E27:E38)</f>
        <v>0</v>
      </c>
      <c r="F39" s="26">
        <f>D39+E39</f>
        <v>-412000</v>
      </c>
      <c r="H39" s="26">
        <f>SUM(H27:H38)</f>
        <v>-110534.23999999999</v>
      </c>
      <c r="I39" s="26">
        <f>SUM(I27:I38)</f>
        <v>0</v>
      </c>
      <c r="J39" s="26">
        <f>H39+I39</f>
        <v>-110534.23999999999</v>
      </c>
      <c r="L39" s="26">
        <f>SUM(L27:L38)</f>
        <v>-90000</v>
      </c>
      <c r="M39" s="26">
        <f>SUM(M27:M38)</f>
        <v>0</v>
      </c>
      <c r="N39" s="26">
        <f>L39+M39</f>
        <v>-90000</v>
      </c>
      <c r="P39" s="26">
        <f>SUM(P27:P38)</f>
        <v>-478400.06</v>
      </c>
      <c r="Q39" s="26">
        <f>SUM(Q27:Q38)</f>
        <v>0</v>
      </c>
      <c r="R39" s="26">
        <f>P39+Q39</f>
        <v>-478400.06</v>
      </c>
      <c r="S39" s="1"/>
      <c r="T39" s="26">
        <f>SUM(T27:T38)</f>
        <v>-30368.12</v>
      </c>
      <c r="U39" s="26">
        <f>SUM(U27:U38)</f>
        <v>0</v>
      </c>
      <c r="V39" s="26">
        <f>T39+U39</f>
        <v>-30368.12</v>
      </c>
      <c r="X39" s="26">
        <f>SUM(X27:X38)</f>
        <v>-1121302.42</v>
      </c>
      <c r="Y39" s="26">
        <f>SUM(Y27:Y38)</f>
        <v>0</v>
      </c>
      <c r="Z39" s="26">
        <f t="shared" si="21"/>
        <v>-1121302.42</v>
      </c>
    </row>
    <row r="40" spans="2:26" x14ac:dyDescent="0.25">
      <c r="D40" s="1"/>
      <c r="E40" s="1"/>
      <c r="F40" s="1"/>
      <c r="H40" s="1"/>
      <c r="I40" s="1"/>
      <c r="J40" s="1"/>
      <c r="L40" s="1"/>
      <c r="M40" s="1"/>
      <c r="N40" s="1"/>
      <c r="P40" s="1"/>
      <c r="Q40" s="1"/>
      <c r="R40" s="1"/>
      <c r="T40" s="1"/>
      <c r="U40" s="1"/>
      <c r="V40" s="1"/>
      <c r="X40" s="1"/>
    </row>
    <row r="41" spans="2:26" x14ac:dyDescent="0.25">
      <c r="B41" s="5" t="s">
        <v>10</v>
      </c>
      <c r="C41" s="5"/>
      <c r="D41" s="1"/>
      <c r="E41" s="1"/>
      <c r="F41" s="1"/>
      <c r="L41" s="1"/>
      <c r="M41" s="1"/>
      <c r="N41" s="1"/>
    </row>
    <row r="42" spans="2:26" x14ac:dyDescent="0.25">
      <c r="B42" s="2" t="s">
        <v>7</v>
      </c>
      <c r="C42" s="2"/>
      <c r="P42" s="9">
        <v>0</v>
      </c>
      <c r="Q42" s="9">
        <f>-T42</f>
        <v>176.88</v>
      </c>
      <c r="R42" s="8">
        <f>P42+Q42</f>
        <v>176.88</v>
      </c>
      <c r="T42" s="9">
        <v>-176.88</v>
      </c>
      <c r="U42" s="8">
        <v>0</v>
      </c>
      <c r="V42" s="8">
        <f>T42+U42</f>
        <v>-176.88</v>
      </c>
      <c r="X42" s="8">
        <f t="shared" ref="X42:X51" si="22">D42+H42+L42+P42+T42</f>
        <v>-176.88</v>
      </c>
      <c r="Y42" s="8">
        <f t="shared" ref="Y42:Y51" si="23">E42+I42+M42+Q42+U42</f>
        <v>176.88</v>
      </c>
      <c r="Z42" s="8">
        <f t="shared" ref="Z42:Z51" si="24">X42+Y42</f>
        <v>0</v>
      </c>
    </row>
    <row r="43" spans="2:26" x14ac:dyDescent="0.25">
      <c r="B43" s="2" t="s">
        <v>52</v>
      </c>
      <c r="C43" s="2"/>
      <c r="P43" s="9">
        <v>0</v>
      </c>
      <c r="Q43" s="9">
        <f>-T43</f>
        <v>3705</v>
      </c>
      <c r="R43" s="8">
        <f>P43+Q43</f>
        <v>3705</v>
      </c>
      <c r="T43" s="9">
        <v>-3705</v>
      </c>
      <c r="U43" s="8">
        <v>0</v>
      </c>
      <c r="V43" s="8">
        <f>T43+U43</f>
        <v>-3705</v>
      </c>
      <c r="X43" s="8">
        <f t="shared" si="22"/>
        <v>-3705</v>
      </c>
      <c r="Y43" s="8">
        <f t="shared" si="23"/>
        <v>3705</v>
      </c>
      <c r="Z43" s="8">
        <f t="shared" si="24"/>
        <v>0</v>
      </c>
    </row>
    <row r="44" spans="2:26" x14ac:dyDescent="0.25">
      <c r="B44" s="2" t="s">
        <v>82</v>
      </c>
      <c r="C44" s="6" t="s">
        <v>17</v>
      </c>
      <c r="P44" s="9">
        <v>0.06</v>
      </c>
      <c r="Q44" s="9">
        <f>-P44</f>
        <v>-0.06</v>
      </c>
      <c r="R44" s="8">
        <f>P44+Q44</f>
        <v>0</v>
      </c>
      <c r="X44" s="8">
        <f t="shared" ref="X44:X45" si="25">D44+H44+L44+P44+T44</f>
        <v>0.06</v>
      </c>
      <c r="Y44" s="8">
        <f t="shared" ref="Y44:Y45" si="26">E44+I44+M44+Q44+U44</f>
        <v>-0.06</v>
      </c>
      <c r="Z44" s="8">
        <f t="shared" ref="Z44:Z45" si="27">X44+Y44</f>
        <v>0</v>
      </c>
    </row>
    <row r="45" spans="2:26" x14ac:dyDescent="0.25">
      <c r="B45" s="2" t="s">
        <v>9</v>
      </c>
      <c r="C45" s="6" t="s">
        <v>21</v>
      </c>
      <c r="H45" s="9">
        <v>-5000</v>
      </c>
      <c r="I45" s="9">
        <f>-H45</f>
        <v>5000</v>
      </c>
      <c r="J45" s="8">
        <f>H45+I45</f>
        <v>0</v>
      </c>
      <c r="X45" s="8">
        <f t="shared" si="25"/>
        <v>-5000</v>
      </c>
      <c r="Y45" s="8">
        <f t="shared" si="26"/>
        <v>5000</v>
      </c>
      <c r="Z45" s="8">
        <f t="shared" si="27"/>
        <v>0</v>
      </c>
    </row>
    <row r="46" spans="2:26" x14ac:dyDescent="0.25">
      <c r="B46" s="2" t="s">
        <v>112</v>
      </c>
      <c r="C46" s="6" t="s">
        <v>22</v>
      </c>
      <c r="P46" s="9">
        <v>0</v>
      </c>
      <c r="Q46" s="9">
        <v>0</v>
      </c>
      <c r="R46" s="8">
        <f>P46+Q46</f>
        <v>0</v>
      </c>
      <c r="X46" s="8">
        <f t="shared" si="22"/>
        <v>0</v>
      </c>
      <c r="Y46" s="8">
        <f t="shared" si="23"/>
        <v>0</v>
      </c>
      <c r="Z46" s="8">
        <f t="shared" si="24"/>
        <v>0</v>
      </c>
    </row>
    <row r="47" spans="2:26" x14ac:dyDescent="0.25">
      <c r="B47" s="2" t="s">
        <v>97</v>
      </c>
      <c r="C47" s="6" t="s">
        <v>25</v>
      </c>
      <c r="F47" s="1"/>
      <c r="H47" s="9">
        <v>-1680.92</v>
      </c>
      <c r="I47" s="9">
        <f>-H47</f>
        <v>1680.92</v>
      </c>
      <c r="J47" s="8">
        <f>H47+I47</f>
        <v>0</v>
      </c>
      <c r="X47" s="8">
        <f t="shared" si="22"/>
        <v>-1680.92</v>
      </c>
      <c r="Y47" s="8">
        <f t="shared" si="23"/>
        <v>1680.92</v>
      </c>
      <c r="Z47" s="8">
        <f t="shared" si="24"/>
        <v>0</v>
      </c>
    </row>
    <row r="48" spans="2:26" x14ac:dyDescent="0.25">
      <c r="B48" s="2" t="s">
        <v>27</v>
      </c>
      <c r="C48" s="6" t="s">
        <v>98</v>
      </c>
      <c r="D48" s="1"/>
      <c r="E48" s="1"/>
      <c r="F48" s="1"/>
      <c r="P48" s="14">
        <v>-20000</v>
      </c>
      <c r="Q48" s="14">
        <f>-P48</f>
        <v>20000</v>
      </c>
      <c r="R48" s="15">
        <f>P48+Q48</f>
        <v>0</v>
      </c>
      <c r="X48" s="15">
        <f t="shared" ref="X48" si="28">D48+H48+L48+P48+T48</f>
        <v>-20000</v>
      </c>
      <c r="Y48" s="15">
        <f t="shared" ref="Y48" si="29">E48+I48+M48+Q48+U48</f>
        <v>20000</v>
      </c>
      <c r="Z48" s="15">
        <f t="shared" ref="Z48" si="30">X48+Y48</f>
        <v>0</v>
      </c>
    </row>
    <row r="49" spans="1:26" x14ac:dyDescent="0.25">
      <c r="B49" s="2" t="s">
        <v>139</v>
      </c>
      <c r="C49" s="6" t="s">
        <v>160</v>
      </c>
      <c r="F49" s="1"/>
      <c r="H49" s="9">
        <v>-5805</v>
      </c>
      <c r="I49" s="9">
        <f>-H49</f>
        <v>5805</v>
      </c>
      <c r="J49" s="8">
        <f>H49+I49</f>
        <v>0</v>
      </c>
      <c r="X49" s="8">
        <f t="shared" si="22"/>
        <v>-5805</v>
      </c>
      <c r="Y49" s="8">
        <f t="shared" si="23"/>
        <v>5805</v>
      </c>
      <c r="Z49" s="8">
        <f t="shared" si="24"/>
        <v>0</v>
      </c>
    </row>
    <row r="50" spans="1:26" ht="15.75" thickBot="1" x14ac:dyDescent="0.3">
      <c r="B50" s="2" t="s">
        <v>137</v>
      </c>
      <c r="C50" s="6" t="s">
        <v>161</v>
      </c>
      <c r="P50" s="14">
        <v>-350</v>
      </c>
      <c r="Q50" s="14">
        <f>-P50</f>
        <v>350</v>
      </c>
      <c r="R50" s="15">
        <f>P50+Q50</f>
        <v>0</v>
      </c>
      <c r="X50" s="8">
        <f t="shared" si="22"/>
        <v>-350</v>
      </c>
      <c r="Y50" s="8">
        <f t="shared" si="23"/>
        <v>350</v>
      </c>
      <c r="Z50" s="8">
        <f t="shared" si="24"/>
        <v>0</v>
      </c>
    </row>
    <row r="51" spans="1:26" x14ac:dyDescent="0.25">
      <c r="B51" s="2" t="s">
        <v>39</v>
      </c>
      <c r="C51" s="2"/>
      <c r="D51" s="26">
        <f>SUM(D42:D50)</f>
        <v>0</v>
      </c>
      <c r="E51" s="26">
        <f>SUM(E42:E50)</f>
        <v>0</v>
      </c>
      <c r="F51" s="26">
        <f>D51+E51</f>
        <v>0</v>
      </c>
      <c r="H51" s="26">
        <f>SUM(H42:H50)</f>
        <v>-12485.92</v>
      </c>
      <c r="I51" s="26">
        <f>SUM(I42:I50)</f>
        <v>12485.92</v>
      </c>
      <c r="J51" s="26">
        <f>H51+I51</f>
        <v>0</v>
      </c>
      <c r="L51" s="26">
        <f>SUM(L42:L50)</f>
        <v>0</v>
      </c>
      <c r="M51" s="26">
        <f>SUM(M42:M50)</f>
        <v>0</v>
      </c>
      <c r="N51" s="26">
        <f>L51+M51</f>
        <v>0</v>
      </c>
      <c r="P51" s="26">
        <f>SUM(P42:P50)</f>
        <v>-20349.939999999999</v>
      </c>
      <c r="Q51" s="26">
        <f>SUM(Q42:Q50)</f>
        <v>24231.82</v>
      </c>
      <c r="R51" s="26">
        <f>P51+Q51</f>
        <v>3881.880000000001</v>
      </c>
      <c r="S51" s="1"/>
      <c r="T51" s="26">
        <f>SUM(T42:T50)</f>
        <v>-3881.88</v>
      </c>
      <c r="U51" s="26">
        <f>SUM(U42:U50)</f>
        <v>0</v>
      </c>
      <c r="V51" s="26">
        <f>T51+U51</f>
        <v>-3881.88</v>
      </c>
      <c r="X51" s="26">
        <f t="shared" si="22"/>
        <v>-36717.74</v>
      </c>
      <c r="Y51" s="26">
        <f t="shared" si="23"/>
        <v>36717.74</v>
      </c>
      <c r="Z51" s="26">
        <f t="shared" si="24"/>
        <v>0</v>
      </c>
    </row>
    <row r="52" spans="1:26" x14ac:dyDescent="0.25">
      <c r="L52" s="1"/>
      <c r="M52" s="1"/>
      <c r="N52" s="1"/>
      <c r="P52" s="1"/>
      <c r="Q52" s="1"/>
      <c r="R52" s="1"/>
    </row>
    <row r="53" spans="1:26" x14ac:dyDescent="0.25">
      <c r="B53" s="2" t="s">
        <v>48</v>
      </c>
      <c r="C53" s="2"/>
      <c r="D53" s="8">
        <f>D7+D15+D24+D39+D51</f>
        <v>7454.7999999999884</v>
      </c>
      <c r="E53" s="8">
        <f>E7+E15+E24+E39+E51</f>
        <v>111839.18</v>
      </c>
      <c r="F53" s="8">
        <f>D53+E53</f>
        <v>119293.97999999998</v>
      </c>
      <c r="H53" s="8">
        <f>H7+H15+H24+H39+H51</f>
        <v>113312.35000000002</v>
      </c>
      <c r="I53" s="8">
        <f>I7+I15+I24+I39+I51</f>
        <v>22933.300000000003</v>
      </c>
      <c r="J53" s="8">
        <f>H53+I53</f>
        <v>136245.65000000002</v>
      </c>
      <c r="L53" s="8">
        <f>L7+L15+L24+L39+L51</f>
        <v>0</v>
      </c>
      <c r="M53" s="8">
        <f>M7+M15+M24+M39+M51</f>
        <v>10269.23000000001</v>
      </c>
      <c r="N53" s="8">
        <f>L53+M53</f>
        <v>10269.23000000001</v>
      </c>
      <c r="P53" s="8">
        <f>P7+P15+P24+P39+P51</f>
        <v>37693.869999999995</v>
      </c>
      <c r="Q53" s="8">
        <f>Q7+Q15+Q24+Q39+Q51</f>
        <v>527726.27999999991</v>
      </c>
      <c r="R53" s="8">
        <f>P53+Q53</f>
        <v>565420.14999999991</v>
      </c>
      <c r="T53" s="8">
        <f>T7+T15+T24+T39+T51</f>
        <v>0</v>
      </c>
      <c r="U53" s="8">
        <f>U7+U15+U24+U39+U51</f>
        <v>0</v>
      </c>
      <c r="V53" s="8">
        <f>T53+U53</f>
        <v>0</v>
      </c>
      <c r="X53" s="8">
        <f>D53+H53+L53+P53+T53</f>
        <v>158461.02000000002</v>
      </c>
      <c r="Y53" s="8">
        <f>E53+I53+M53+Q53+U53</f>
        <v>672767.98999999987</v>
      </c>
      <c r="Z53" s="8">
        <f>X53+Y53</f>
        <v>831229.00999999989</v>
      </c>
    </row>
    <row r="55" spans="1:26" x14ac:dyDescent="0.25">
      <c r="B55" s="5" t="s">
        <v>107</v>
      </c>
      <c r="C55" s="5"/>
      <c r="L55" s="1"/>
      <c r="M55" s="1"/>
      <c r="N55" s="1"/>
    </row>
    <row r="56" spans="1:26" x14ac:dyDescent="0.25">
      <c r="B56" s="2" t="s">
        <v>104</v>
      </c>
      <c r="C56" s="6" t="s">
        <v>17</v>
      </c>
      <c r="L56" s="9">
        <v>5440</v>
      </c>
      <c r="M56" s="9">
        <f>-L56</f>
        <v>-5440</v>
      </c>
      <c r="N56" s="8">
        <f>L56+M56</f>
        <v>0</v>
      </c>
      <c r="P56" s="9">
        <v>73247.5</v>
      </c>
      <c r="Q56" s="9">
        <f>-P56</f>
        <v>-73247.5</v>
      </c>
      <c r="R56" s="8">
        <f>P56+Q56</f>
        <v>0</v>
      </c>
      <c r="X56" s="8">
        <f t="shared" ref="X56:Y58" si="31">D56+H56+L56+P56+T56</f>
        <v>78687.5</v>
      </c>
      <c r="Y56" s="8">
        <f t="shared" si="31"/>
        <v>-78687.5</v>
      </c>
      <c r="Z56" s="8">
        <f>X56+Y56</f>
        <v>0</v>
      </c>
    </row>
    <row r="57" spans="1:26" ht="15.75" thickBot="1" x14ac:dyDescent="0.3">
      <c r="B57" s="2" t="s">
        <v>244</v>
      </c>
      <c r="C57" s="2"/>
      <c r="D57" s="14">
        <v>0</v>
      </c>
      <c r="E57" s="14">
        <v>0</v>
      </c>
      <c r="F57" s="8">
        <f>D57+E57</f>
        <v>0</v>
      </c>
      <c r="H57" s="14">
        <v>0</v>
      </c>
      <c r="I57" s="14">
        <v>0</v>
      </c>
      <c r="J57" s="8">
        <f>H57+I57</f>
        <v>0</v>
      </c>
      <c r="L57" s="14">
        <v>0</v>
      </c>
      <c r="M57" s="14">
        <v>0</v>
      </c>
      <c r="N57" s="8">
        <f>L57+M57</f>
        <v>0</v>
      </c>
      <c r="P57" s="14">
        <v>0</v>
      </c>
      <c r="Q57" s="14">
        <v>0</v>
      </c>
      <c r="R57" s="8">
        <f>P57+Q57</f>
        <v>0</v>
      </c>
      <c r="T57" s="14">
        <v>0</v>
      </c>
      <c r="U57" s="14">
        <v>0</v>
      </c>
      <c r="V57" s="8">
        <f>T57+U57</f>
        <v>0</v>
      </c>
      <c r="X57" s="8">
        <f>D57+H57+L57+P57+T57</f>
        <v>0</v>
      </c>
      <c r="Y57" s="8">
        <f>E57+I57+M57+Q57+U57</f>
        <v>0</v>
      </c>
      <c r="Z57" s="8">
        <f>X57+Y57</f>
        <v>0</v>
      </c>
    </row>
    <row r="58" spans="1:26" x14ac:dyDescent="0.25">
      <c r="B58" s="2" t="s">
        <v>150</v>
      </c>
      <c r="C58" s="2"/>
      <c r="D58" s="26">
        <f>SUM(D56:D57)</f>
        <v>0</v>
      </c>
      <c r="E58" s="26">
        <f>SUM(E56:E57)</f>
        <v>0</v>
      </c>
      <c r="F58" s="26">
        <f>D58+E58</f>
        <v>0</v>
      </c>
      <c r="H58" s="26">
        <f>SUM(H56:H57)</f>
        <v>0</v>
      </c>
      <c r="I58" s="26">
        <f>SUM(I56:I57)</f>
        <v>0</v>
      </c>
      <c r="J58" s="26">
        <f>H58+I58</f>
        <v>0</v>
      </c>
      <c r="L58" s="26">
        <f>SUM(L56:L57)</f>
        <v>5440</v>
      </c>
      <c r="M58" s="26">
        <f>SUM(M56:M57)</f>
        <v>-5440</v>
      </c>
      <c r="N58" s="26">
        <f>L58+M58</f>
        <v>0</v>
      </c>
      <c r="P58" s="26">
        <f>SUM(P56:P57)</f>
        <v>73247.5</v>
      </c>
      <c r="Q58" s="26">
        <f>SUM(Q56:Q57)</f>
        <v>-73247.5</v>
      </c>
      <c r="R58" s="26">
        <f>P58+Q58</f>
        <v>0</v>
      </c>
      <c r="S58" s="1"/>
      <c r="T58" s="26">
        <f>SUM(T56:T57)</f>
        <v>0</v>
      </c>
      <c r="U58" s="26">
        <f>SUM(U56:U57)</f>
        <v>0</v>
      </c>
      <c r="V58" s="26">
        <f>T58+U58</f>
        <v>0</v>
      </c>
      <c r="X58" s="26">
        <f t="shared" si="31"/>
        <v>78687.5</v>
      </c>
      <c r="Y58" s="26">
        <f t="shared" si="31"/>
        <v>-78687.5</v>
      </c>
      <c r="Z58" s="26">
        <f>X58+Y58</f>
        <v>0</v>
      </c>
    </row>
    <row r="59" spans="1:26" x14ac:dyDescent="0.25">
      <c r="B59" s="2"/>
      <c r="C59" s="2"/>
    </row>
    <row r="60" spans="1:26" ht="15.75" thickBot="1" x14ac:dyDescent="0.3">
      <c r="B60" s="2" t="s">
        <v>50</v>
      </c>
      <c r="C60" s="2"/>
      <c r="D60" s="17">
        <f>ROUND(D53+D58,2)</f>
        <v>7454.8</v>
      </c>
      <c r="E60" s="17">
        <f>ROUND(E53+E58,2)</f>
        <v>111839.18</v>
      </c>
      <c r="F60" s="17">
        <f>D60+E60</f>
        <v>119293.98</v>
      </c>
      <c r="H60" s="17">
        <f>ROUND(H53+H58,2)</f>
        <v>113312.35</v>
      </c>
      <c r="I60" s="17">
        <f>ROUND(I53+I58,2)</f>
        <v>22933.3</v>
      </c>
      <c r="J60" s="17">
        <f>H60+I60</f>
        <v>136245.65</v>
      </c>
      <c r="L60" s="17">
        <f>ROUND(L53+L58,2)</f>
        <v>5440</v>
      </c>
      <c r="M60" s="17">
        <f>ROUND(M53+M58,2)</f>
        <v>4829.2299999999996</v>
      </c>
      <c r="N60" s="17">
        <f>L60+M60</f>
        <v>10269.23</v>
      </c>
      <c r="P60" s="17">
        <f>ROUND(P53+P58,2)</f>
        <v>110941.37</v>
      </c>
      <c r="Q60" s="17">
        <f>ROUND(Q53+Q58,2)</f>
        <v>454478.78</v>
      </c>
      <c r="R60" s="17">
        <f>P60+Q60</f>
        <v>565420.15</v>
      </c>
      <c r="T60" s="17">
        <f>ROUND(T53+T58,2)</f>
        <v>0</v>
      </c>
      <c r="U60" s="17">
        <f>ROUND(U53+U58,2)</f>
        <v>0</v>
      </c>
      <c r="V60" s="17">
        <f>T60+U60</f>
        <v>0</v>
      </c>
      <c r="X60" s="17">
        <f>D60+H60+L60+P60+T60</f>
        <v>237148.52000000002</v>
      </c>
      <c r="Y60" s="17">
        <f>E60+I60+M60+Q60+U60</f>
        <v>594080.49</v>
      </c>
      <c r="Z60" s="17">
        <f>X60+Y60</f>
        <v>831229.01</v>
      </c>
    </row>
    <row r="61" spans="1:26" ht="15.75" thickTop="1" x14ac:dyDescent="0.25">
      <c r="B61" s="2"/>
      <c r="C61" s="2"/>
    </row>
    <row r="62" spans="1:26" x14ac:dyDescent="0.25">
      <c r="B62" s="2"/>
      <c r="C62" s="2"/>
    </row>
    <row r="63" spans="1:26" x14ac:dyDescent="0.25">
      <c r="A63" s="35" t="s">
        <v>54</v>
      </c>
      <c r="B63" s="35"/>
      <c r="C63" s="19"/>
    </row>
    <row r="65" spans="2:26" x14ac:dyDescent="0.25">
      <c r="B65" s="5" t="s">
        <v>101</v>
      </c>
      <c r="C65" s="5"/>
    </row>
    <row r="66" spans="2:26" x14ac:dyDescent="0.25">
      <c r="B66" s="2" t="s">
        <v>738</v>
      </c>
      <c r="C66" s="2"/>
      <c r="D66" s="9">
        <v>0</v>
      </c>
      <c r="E66" s="9">
        <f>525000/10</f>
        <v>52500</v>
      </c>
      <c r="F66" s="8">
        <f>D66+E66</f>
        <v>52500</v>
      </c>
      <c r="H66" s="9">
        <v>0</v>
      </c>
      <c r="I66" s="9">
        <f>525000/10</f>
        <v>52500</v>
      </c>
      <c r="J66" s="8">
        <f>H66+I66</f>
        <v>52500</v>
      </c>
      <c r="L66" s="9">
        <v>0</v>
      </c>
      <c r="M66" s="9">
        <f>525000/10</f>
        <v>52500</v>
      </c>
      <c r="N66" s="8">
        <f>L66+M66</f>
        <v>52500</v>
      </c>
      <c r="P66" s="9">
        <v>0</v>
      </c>
      <c r="Q66" s="9">
        <f>525000-E66-I66-M66</f>
        <v>367500</v>
      </c>
      <c r="R66" s="8">
        <f>P66+Q66</f>
        <v>367500</v>
      </c>
      <c r="T66" s="1"/>
      <c r="U66" s="1"/>
      <c r="V66" s="1"/>
      <c r="X66" s="8">
        <f t="shared" ref="X66:Z69" si="32">D66+H66+L66+P66+T66</f>
        <v>0</v>
      </c>
      <c r="Y66" s="8">
        <f t="shared" si="32"/>
        <v>525000</v>
      </c>
      <c r="Z66" s="8">
        <f t="shared" si="32"/>
        <v>525000</v>
      </c>
    </row>
    <row r="67" spans="2:26" x14ac:dyDescent="0.25">
      <c r="B67" s="2" t="s">
        <v>135</v>
      </c>
      <c r="C67" s="2"/>
      <c r="D67" s="9">
        <v>0</v>
      </c>
      <c r="E67" s="9">
        <f>525000*0.22/10</f>
        <v>11550</v>
      </c>
      <c r="F67" s="8">
        <f>D67+E67</f>
        <v>11550</v>
      </c>
      <c r="H67" s="9">
        <v>0</v>
      </c>
      <c r="I67" s="9">
        <f>525000*0.22/10</f>
        <v>11550</v>
      </c>
      <c r="J67" s="8">
        <f>H67+I67</f>
        <v>11550</v>
      </c>
      <c r="L67" s="9">
        <v>0</v>
      </c>
      <c r="M67" s="9">
        <f>525000*0.22/10</f>
        <v>11550</v>
      </c>
      <c r="N67" s="8">
        <f>L67+M67</f>
        <v>11550</v>
      </c>
      <c r="P67" s="9">
        <v>0</v>
      </c>
      <c r="Q67" s="9">
        <f>525000*0.22-E67-I67-M67</f>
        <v>80850</v>
      </c>
      <c r="R67" s="8">
        <f>P67+Q67</f>
        <v>80850</v>
      </c>
      <c r="X67" s="8">
        <f t="shared" si="32"/>
        <v>0</v>
      </c>
      <c r="Y67" s="8">
        <f t="shared" si="32"/>
        <v>115500</v>
      </c>
      <c r="Z67" s="8">
        <f t="shared" si="32"/>
        <v>115500</v>
      </c>
    </row>
    <row r="68" spans="2:26" ht="15.75" thickBot="1" x14ac:dyDescent="0.3">
      <c r="B68" s="2" t="s">
        <v>127</v>
      </c>
      <c r="C68" s="2"/>
      <c r="D68" s="14">
        <v>0</v>
      </c>
      <c r="E68" s="14">
        <v>510</v>
      </c>
      <c r="F68" s="15">
        <f>D68+E68</f>
        <v>510</v>
      </c>
      <c r="H68" s="14">
        <v>0</v>
      </c>
      <c r="I68" s="14">
        <v>510</v>
      </c>
      <c r="J68" s="15">
        <f>H68+I68</f>
        <v>510</v>
      </c>
      <c r="L68" s="14">
        <v>0</v>
      </c>
      <c r="M68" s="14">
        <v>510</v>
      </c>
      <c r="N68" s="15">
        <f>L68+M68</f>
        <v>510</v>
      </c>
      <c r="P68" s="9">
        <v>0</v>
      </c>
      <c r="Q68" s="9">
        <f>5100-E68-I68-M68</f>
        <v>3570</v>
      </c>
      <c r="R68" s="8">
        <f>P68+Q68</f>
        <v>3570</v>
      </c>
      <c r="X68" s="8">
        <f>D68+H68+L68+P68+T68</f>
        <v>0</v>
      </c>
      <c r="Y68" s="8">
        <f>E68+I68+M68+Q68+U68</f>
        <v>5100</v>
      </c>
      <c r="Z68" s="8">
        <f>F68+J68+N68+R68+V68</f>
        <v>5100</v>
      </c>
    </row>
    <row r="69" spans="2:26" x14ac:dyDescent="0.25">
      <c r="B69" s="2" t="s">
        <v>102</v>
      </c>
      <c r="C69" s="2"/>
      <c r="D69" s="26">
        <f>SUM(D66:D68)</f>
        <v>0</v>
      </c>
      <c r="E69" s="26">
        <f>SUM(E66:E68)</f>
        <v>64560</v>
      </c>
      <c r="F69" s="26">
        <f>D69+E69</f>
        <v>64560</v>
      </c>
      <c r="H69" s="26">
        <f>SUM(H66:H68)</f>
        <v>0</v>
      </c>
      <c r="I69" s="26">
        <f>SUM(I66:I68)</f>
        <v>64560</v>
      </c>
      <c r="J69" s="26">
        <f>H69+I69</f>
        <v>64560</v>
      </c>
      <c r="L69" s="26">
        <f>SUM(L66:L68)</f>
        <v>0</v>
      </c>
      <c r="M69" s="26">
        <f>SUM(M66:M68)</f>
        <v>64560</v>
      </c>
      <c r="N69" s="26">
        <f>L69+M69</f>
        <v>64560</v>
      </c>
      <c r="P69" s="26">
        <f>SUM(P66:P68)</f>
        <v>0</v>
      </c>
      <c r="Q69" s="26">
        <f>SUM(Q66:Q68)</f>
        <v>451920</v>
      </c>
      <c r="R69" s="26">
        <f>P69+Q69</f>
        <v>451920</v>
      </c>
      <c r="S69" s="1"/>
      <c r="T69" s="26">
        <f>SUM(T66:T68)</f>
        <v>0</v>
      </c>
      <c r="U69" s="26">
        <f>SUM(U66:U68)</f>
        <v>0</v>
      </c>
      <c r="V69" s="26">
        <f>T69+U69</f>
        <v>0</v>
      </c>
      <c r="X69" s="26">
        <f t="shared" si="32"/>
        <v>0</v>
      </c>
      <c r="Y69" s="26">
        <f t="shared" si="32"/>
        <v>645600</v>
      </c>
      <c r="Z69" s="26">
        <f t="shared" si="32"/>
        <v>645600</v>
      </c>
    </row>
    <row r="70" spans="2:26" x14ac:dyDescent="0.25">
      <c r="B70" s="2"/>
      <c r="C70" s="2"/>
    </row>
    <row r="71" spans="2:26" x14ac:dyDescent="0.25">
      <c r="B71" s="5" t="s">
        <v>103</v>
      </c>
      <c r="C71" s="5"/>
    </row>
    <row r="72" spans="2:26" x14ac:dyDescent="0.25">
      <c r="B72" s="2" t="s">
        <v>86</v>
      </c>
      <c r="C72" s="2"/>
      <c r="H72" s="1"/>
      <c r="I72" s="1"/>
      <c r="J72" s="1"/>
      <c r="L72" s="1"/>
      <c r="M72" s="1"/>
      <c r="N72" s="1"/>
      <c r="P72" s="9">
        <v>0</v>
      </c>
      <c r="Q72" s="8">
        <v>-32280</v>
      </c>
      <c r="R72" s="8">
        <f>P72+Q72</f>
        <v>-32280</v>
      </c>
      <c r="T72" s="9">
        <f>(525000*1.22 + 5100)/20</f>
        <v>32280</v>
      </c>
      <c r="U72" s="9">
        <v>0</v>
      </c>
      <c r="V72" s="8">
        <f>T72+U72</f>
        <v>32280</v>
      </c>
      <c r="X72" s="8">
        <f t="shared" ref="X72:Z72" si="33">D72+H72+L72+P72+T72</f>
        <v>32280</v>
      </c>
      <c r="Y72" s="8">
        <f t="shared" si="33"/>
        <v>-32280</v>
      </c>
      <c r="Z72" s="8">
        <f t="shared" si="33"/>
        <v>0</v>
      </c>
    </row>
    <row r="73" spans="2:26" x14ac:dyDescent="0.25">
      <c r="B73" s="2" t="s">
        <v>104</v>
      </c>
      <c r="C73" s="6" t="s">
        <v>17</v>
      </c>
      <c r="L73" s="9">
        <v>70000</v>
      </c>
      <c r="M73" s="9">
        <f>-L73</f>
        <v>-70000</v>
      </c>
      <c r="N73" s="8">
        <f>L73+M73</f>
        <v>0</v>
      </c>
      <c r="P73" s="14">
        <f>487887.5-70000</f>
        <v>417887.5</v>
      </c>
      <c r="Q73" s="14">
        <f>-P73</f>
        <v>-417887.5</v>
      </c>
      <c r="R73" s="15">
        <f>P73+Q73</f>
        <v>0</v>
      </c>
      <c r="X73" s="15">
        <f t="shared" ref="X73" si="34">D73+H73+L73+P73+T73</f>
        <v>487887.5</v>
      </c>
      <c r="Y73" s="15">
        <f t="shared" ref="Y73" si="35">E73+I73+M73+Q73+U73</f>
        <v>-487887.5</v>
      </c>
      <c r="Z73" s="15">
        <f t="shared" ref="Z73" si="36">F73+J73+N73+R73+V73</f>
        <v>0</v>
      </c>
    </row>
    <row r="74" spans="2:26" ht="15.75" thickBot="1" x14ac:dyDescent="0.3">
      <c r="B74" s="2" t="s">
        <v>595</v>
      </c>
      <c r="C74" s="6" t="s">
        <v>197</v>
      </c>
      <c r="H74" s="1"/>
      <c r="I74" s="1"/>
      <c r="J74" s="1"/>
      <c r="L74" s="1"/>
      <c r="M74" s="1"/>
      <c r="N74" s="1"/>
      <c r="P74" s="9">
        <v>75000</v>
      </c>
      <c r="Q74" s="8">
        <v>-75000</v>
      </c>
      <c r="R74" s="8">
        <f>P74+Q74</f>
        <v>0</v>
      </c>
      <c r="X74" s="8">
        <f t="shared" ref="X74:Z75" si="37">D74+H74+L74+P74+T74</f>
        <v>75000</v>
      </c>
      <c r="Y74" s="8">
        <f t="shared" si="37"/>
        <v>-75000</v>
      </c>
      <c r="Z74" s="8">
        <f t="shared" si="37"/>
        <v>0</v>
      </c>
    </row>
    <row r="75" spans="2:26" x14ac:dyDescent="0.25">
      <c r="B75" s="2" t="s">
        <v>105</v>
      </c>
      <c r="C75" s="2"/>
      <c r="D75" s="26">
        <f>SUM(D72:D74)</f>
        <v>0</v>
      </c>
      <c r="E75" s="26">
        <f>SUM(E72:E74)</f>
        <v>0</v>
      </c>
      <c r="F75" s="26">
        <f>D75+E75</f>
        <v>0</v>
      </c>
      <c r="H75" s="26">
        <f>SUM(H72:H74)</f>
        <v>0</v>
      </c>
      <c r="I75" s="26">
        <f>SUM(I72:I74)</f>
        <v>0</v>
      </c>
      <c r="J75" s="26">
        <f>H75+I75</f>
        <v>0</v>
      </c>
      <c r="L75" s="26">
        <f>SUM(L72:L74)</f>
        <v>70000</v>
      </c>
      <c r="M75" s="26">
        <f>SUM(M72:M74)</f>
        <v>-70000</v>
      </c>
      <c r="N75" s="26">
        <f>L75+M75</f>
        <v>0</v>
      </c>
      <c r="P75" s="26">
        <f>SUM(P72:P74)</f>
        <v>492887.5</v>
      </c>
      <c r="Q75" s="26">
        <f>SUM(Q72:Q74)</f>
        <v>-525167.5</v>
      </c>
      <c r="R75" s="26">
        <f>P75+Q75</f>
        <v>-32280</v>
      </c>
      <c r="S75" s="1"/>
      <c r="T75" s="26">
        <f>SUM(T72:T74)</f>
        <v>32280</v>
      </c>
      <c r="U75" s="26">
        <f>SUM(U72:U74)</f>
        <v>0</v>
      </c>
      <c r="V75" s="26">
        <f>T75+U75</f>
        <v>32280</v>
      </c>
      <c r="X75" s="26">
        <f t="shared" si="37"/>
        <v>595167.5</v>
      </c>
      <c r="Y75" s="26">
        <f t="shared" si="37"/>
        <v>-595167.5</v>
      </c>
      <c r="Z75" s="26">
        <f t="shared" si="37"/>
        <v>0</v>
      </c>
    </row>
    <row r="76" spans="2:26" x14ac:dyDescent="0.25">
      <c r="B76" s="2"/>
      <c r="C76" s="2"/>
    </row>
    <row r="77" spans="2:26" x14ac:dyDescent="0.25">
      <c r="B77" s="2" t="s">
        <v>106</v>
      </c>
      <c r="C77" s="2"/>
      <c r="D77" s="8">
        <f>D69+D75</f>
        <v>0</v>
      </c>
      <c r="E77" s="8">
        <f>E69+E75</f>
        <v>64560</v>
      </c>
      <c r="F77" s="8">
        <f>D77+E77</f>
        <v>64560</v>
      </c>
      <c r="H77" s="8">
        <f>H69+H75</f>
        <v>0</v>
      </c>
      <c r="I77" s="8">
        <f>I69+I75</f>
        <v>64560</v>
      </c>
      <c r="J77" s="8">
        <f>H77+I77</f>
        <v>64560</v>
      </c>
      <c r="L77" s="8">
        <f>L69+L75</f>
        <v>70000</v>
      </c>
      <c r="M77" s="8">
        <f>M69+M75</f>
        <v>-5440</v>
      </c>
      <c r="N77" s="8">
        <f>L77+M77</f>
        <v>64560</v>
      </c>
      <c r="P77" s="8">
        <f>P69+P75</f>
        <v>492887.5</v>
      </c>
      <c r="Q77" s="8">
        <f>Q69+Q75</f>
        <v>-73247.5</v>
      </c>
      <c r="R77" s="8">
        <f>P77+Q77</f>
        <v>419640</v>
      </c>
      <c r="T77" s="8">
        <f>T69+T75</f>
        <v>32280</v>
      </c>
      <c r="U77" s="8">
        <f>U69+U75</f>
        <v>0</v>
      </c>
      <c r="V77" s="8">
        <f>T77+U77</f>
        <v>32280</v>
      </c>
      <c r="X77" s="8">
        <f>D77+H77+L77+P77+T77</f>
        <v>595167.5</v>
      </c>
      <c r="Y77" s="8">
        <f>E77+I77+M77+Q77+U77</f>
        <v>50432.5</v>
      </c>
      <c r="Z77" s="8">
        <f>F77+J77+N77+R77+V77</f>
        <v>645600</v>
      </c>
    </row>
    <row r="78" spans="2:26" x14ac:dyDescent="0.25">
      <c r="B78" s="2"/>
      <c r="C78" s="2"/>
    </row>
    <row r="80" spans="2:26" x14ac:dyDescent="0.25">
      <c r="D80" t="s">
        <v>72</v>
      </c>
    </row>
    <row r="81" spans="4:18" x14ac:dyDescent="0.25">
      <c r="D81" s="2"/>
    </row>
    <row r="82" spans="4:18" x14ac:dyDescent="0.25">
      <c r="D82" s="2" t="s">
        <v>58</v>
      </c>
      <c r="E82" t="s">
        <v>171</v>
      </c>
    </row>
    <row r="83" spans="4:18" x14ac:dyDescent="0.25">
      <c r="E83" t="s">
        <v>170</v>
      </c>
    </row>
    <row r="84" spans="4:18" x14ac:dyDescent="0.25">
      <c r="E84" t="s">
        <v>172</v>
      </c>
    </row>
    <row r="85" spans="4:18" x14ac:dyDescent="0.25">
      <c r="E85" t="s">
        <v>168</v>
      </c>
    </row>
    <row r="87" spans="4:18" x14ac:dyDescent="0.25">
      <c r="D87" s="2" t="s">
        <v>60</v>
      </c>
      <c r="E87" t="s">
        <v>173</v>
      </c>
    </row>
    <row r="88" spans="4:18" x14ac:dyDescent="0.25">
      <c r="E88" t="s">
        <v>174</v>
      </c>
    </row>
    <row r="89" spans="4:18" x14ac:dyDescent="0.25">
      <c r="E89" t="s">
        <v>175</v>
      </c>
    </row>
    <row r="90" spans="4:18" x14ac:dyDescent="0.25">
      <c r="E90" t="s">
        <v>176</v>
      </c>
    </row>
    <row r="92" spans="4:18" x14ac:dyDescent="0.25">
      <c r="D92" t="s">
        <v>130</v>
      </c>
    </row>
    <row r="94" spans="4:18" x14ac:dyDescent="0.25">
      <c r="D94" s="36" t="s">
        <v>3</v>
      </c>
      <c r="E94" s="36"/>
      <c r="F94" s="36"/>
      <c r="H94" s="36" t="s">
        <v>4</v>
      </c>
      <c r="I94" s="36"/>
      <c r="J94" s="36"/>
      <c r="L94" s="36" t="s">
        <v>2</v>
      </c>
      <c r="M94" s="36"/>
      <c r="N94" s="36"/>
      <c r="P94" s="36" t="s">
        <v>13</v>
      </c>
      <c r="Q94" s="36"/>
      <c r="R94" s="36"/>
    </row>
    <row r="95" spans="4:18" x14ac:dyDescent="0.25">
      <c r="D95" s="6"/>
      <c r="E95" s="6"/>
      <c r="F95" s="6"/>
      <c r="H95" s="6"/>
      <c r="I95" s="6"/>
      <c r="J95" s="6"/>
    </row>
    <row r="96" spans="4:18" x14ac:dyDescent="0.25">
      <c r="E96" s="6" t="s">
        <v>110</v>
      </c>
      <c r="F96" s="6" t="s">
        <v>111</v>
      </c>
      <c r="I96" s="6" t="s">
        <v>110</v>
      </c>
      <c r="J96" s="6" t="s">
        <v>111</v>
      </c>
      <c r="M96" s="6" t="s">
        <v>110</v>
      </c>
      <c r="N96" s="6" t="s">
        <v>111</v>
      </c>
      <c r="Q96" s="6" t="s">
        <v>110</v>
      </c>
      <c r="R96" s="6" t="s">
        <v>111</v>
      </c>
    </row>
    <row r="97" spans="4:18" x14ac:dyDescent="0.25">
      <c r="E97" s="6"/>
      <c r="F97" s="6"/>
    </row>
    <row r="98" spans="4:18" x14ac:dyDescent="0.25">
      <c r="E98" s="2" t="s">
        <v>480</v>
      </c>
      <c r="F98" s="9">
        <v>7454.8</v>
      </c>
      <c r="I98" s="2" t="s">
        <v>112</v>
      </c>
      <c r="J98" s="9">
        <v>8677.51</v>
      </c>
      <c r="M98" s="2" t="s">
        <v>82</v>
      </c>
      <c r="N98" s="14">
        <v>21500</v>
      </c>
      <c r="Q98" s="2" t="s">
        <v>27</v>
      </c>
      <c r="R98" s="9">
        <v>20000</v>
      </c>
    </row>
    <row r="99" spans="4:18" x14ac:dyDescent="0.25">
      <c r="E99" s="2" t="s">
        <v>136</v>
      </c>
      <c r="F99" s="14">
        <v>343500</v>
      </c>
      <c r="I99" s="2" t="s">
        <v>9</v>
      </c>
      <c r="J99" s="9">
        <v>5000</v>
      </c>
      <c r="M99" s="2" t="s">
        <v>113</v>
      </c>
      <c r="N99" s="13">
        <f>N98</f>
        <v>21500</v>
      </c>
      <c r="Q99" s="2" t="s">
        <v>539</v>
      </c>
      <c r="R99" s="9">
        <v>15841.5</v>
      </c>
    </row>
    <row r="100" spans="4:18" x14ac:dyDescent="0.25">
      <c r="E100" s="2" t="s">
        <v>113</v>
      </c>
      <c r="F100" s="13">
        <f>SUM(F98:F99)</f>
        <v>350954.8</v>
      </c>
      <c r="I100" s="2" t="s">
        <v>97</v>
      </c>
      <c r="J100" s="9">
        <v>13630</v>
      </c>
      <c r="Q100" s="2" t="s">
        <v>1</v>
      </c>
      <c r="R100" s="14">
        <v>58989.87</v>
      </c>
    </row>
    <row r="101" spans="4:18" x14ac:dyDescent="0.25">
      <c r="I101" s="2" t="s">
        <v>138</v>
      </c>
      <c r="J101" s="14">
        <v>140525</v>
      </c>
      <c r="Q101" s="2" t="s">
        <v>113</v>
      </c>
      <c r="R101" s="13">
        <f>SUM(R98:R100)</f>
        <v>94831.37</v>
      </c>
    </row>
    <row r="102" spans="4:18" x14ac:dyDescent="0.25">
      <c r="I102" s="2" t="s">
        <v>113</v>
      </c>
      <c r="J102" s="13">
        <f>SUM(J98:J101)</f>
        <v>167832.51</v>
      </c>
    </row>
    <row r="105" spans="4:18" x14ac:dyDescent="0.25">
      <c r="D105" s="6" t="s">
        <v>118</v>
      </c>
    </row>
    <row r="106" spans="4:18" x14ac:dyDescent="0.25">
      <c r="D106" s="2" t="s">
        <v>58</v>
      </c>
      <c r="E106" t="s">
        <v>739</v>
      </c>
    </row>
    <row r="107" spans="4:18" x14ac:dyDescent="0.25">
      <c r="D107" s="2" t="s">
        <v>60</v>
      </c>
      <c r="E107" t="s">
        <v>177</v>
      </c>
    </row>
    <row r="108" spans="4:18" x14ac:dyDescent="0.25">
      <c r="D108" s="2" t="s">
        <v>109</v>
      </c>
      <c r="E108" t="s">
        <v>178</v>
      </c>
    </row>
  </sheetData>
  <mergeCells count="11">
    <mergeCell ref="T4:V4"/>
    <mergeCell ref="X4:Z4"/>
    <mergeCell ref="D94:F94"/>
    <mergeCell ref="H94:J94"/>
    <mergeCell ref="L94:N94"/>
    <mergeCell ref="P94:R94"/>
    <mergeCell ref="A63:B63"/>
    <mergeCell ref="D4:F4"/>
    <mergeCell ref="H4:J4"/>
    <mergeCell ref="L4:N4"/>
    <mergeCell ref="P4:R4"/>
  </mergeCells>
  <printOptions horizontalCentered="1"/>
  <pageMargins left="0.25" right="0.25" top="0.75" bottom="0.75" header="0.3" footer="0.3"/>
  <pageSetup paperSize="5" scale="62" fitToHeight="0" orientation="landscape" r:id="rId1"/>
  <headerFooter>
    <oddFooter>&amp;L&amp;F&amp;CPage &amp;P of &amp;N&amp;R22 October 2012</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A1:Z114"/>
  <sheetViews>
    <sheetView workbookViewId="0">
      <pane xSplit="2" ySplit="6" topLeftCell="C60" activePane="bottomRight" state="frozen"/>
      <selection activeCell="C9" sqref="C9"/>
      <selection pane="topRight" activeCell="C9" sqref="C9"/>
      <selection pane="bottomLeft" activeCell="C9" sqref="C9"/>
      <selection pane="bottomRight" activeCell="A78" sqref="A78"/>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4" width="13.7109375" customWidth="1"/>
    <col min="25" max="25" width="14.7109375" customWidth="1"/>
    <col min="26" max="26" width="13.7109375" customWidth="1"/>
  </cols>
  <sheetData>
    <row r="1" spans="1:26" x14ac:dyDescent="0.25">
      <c r="A1" s="6"/>
    </row>
    <row r="2" spans="1:26" x14ac:dyDescent="0.25">
      <c r="D2" t="s">
        <v>128</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1:26" x14ac:dyDescent="0.25">
      <c r="B7" s="2" t="s">
        <v>30</v>
      </c>
      <c r="C7" s="2"/>
      <c r="D7" s="8">
        <f>'FY10'!D68</f>
        <v>7454.8</v>
      </c>
      <c r="E7" s="8">
        <f>'FY10'!E68</f>
        <v>376379.97</v>
      </c>
      <c r="F7" s="8">
        <f>D7+E7</f>
        <v>383834.76999999996</v>
      </c>
      <c r="H7" s="8">
        <f>'FY10'!H68</f>
        <v>107275</v>
      </c>
      <c r="I7" s="8">
        <f>'FY10'!I68</f>
        <v>107013.17</v>
      </c>
      <c r="J7" s="8">
        <f>H7+I7</f>
        <v>214288.16999999998</v>
      </c>
      <c r="L7" s="8">
        <f>'FY10'!L68</f>
        <v>23000</v>
      </c>
      <c r="M7" s="8">
        <f>'FY10'!M68</f>
        <v>4810.0200000000004</v>
      </c>
      <c r="N7" s="8">
        <f>L7+M7</f>
        <v>27810.02</v>
      </c>
      <c r="P7" s="8">
        <f>'FY10'!P68</f>
        <v>321088.34000000003</v>
      </c>
      <c r="Q7" s="8">
        <f>'FY10'!Q68</f>
        <v>311048.7</v>
      </c>
      <c r="R7" s="8">
        <f>P7+Q7</f>
        <v>632137.04</v>
      </c>
      <c r="T7" s="8">
        <f>'FY10'!T68</f>
        <v>0</v>
      </c>
      <c r="U7" s="8">
        <f>'FY10'!U68</f>
        <v>0</v>
      </c>
      <c r="V7" s="8">
        <f>T7+U7</f>
        <v>0</v>
      </c>
      <c r="X7" s="8">
        <f>D7+H7+L7+P7+T7</f>
        <v>458818.14</v>
      </c>
      <c r="Y7" s="8">
        <f>E7+I7+M7+Q7+U7</f>
        <v>799251.86</v>
      </c>
      <c r="Z7" s="8">
        <f>F7+J7+N7+R7+V7</f>
        <v>1258070</v>
      </c>
    </row>
    <row r="9" spans="1:26" x14ac:dyDescent="0.25">
      <c r="B9" s="5" t="s">
        <v>11</v>
      </c>
      <c r="C9" s="5"/>
      <c r="T9" s="1"/>
      <c r="U9" s="1"/>
    </row>
    <row r="10" spans="1:26" x14ac:dyDescent="0.25">
      <c r="B10" s="2" t="s">
        <v>740</v>
      </c>
      <c r="C10" s="2"/>
      <c r="D10" s="9">
        <v>0</v>
      </c>
      <c r="E10" s="9">
        <f>ROUND(529244.63/10,2)</f>
        <v>52924.46</v>
      </c>
      <c r="F10" s="8">
        <f>D10+E10</f>
        <v>52924.46</v>
      </c>
      <c r="H10" s="9">
        <v>0</v>
      </c>
      <c r="I10" s="9">
        <f>ROUND(529244.63/10,2)</f>
        <v>52924.46</v>
      </c>
      <c r="J10" s="8">
        <f>H10+I10</f>
        <v>52924.46</v>
      </c>
      <c r="L10" s="9">
        <v>0</v>
      </c>
      <c r="M10" s="9">
        <f>ROUND(529244.63/10,2)</f>
        <v>52924.46</v>
      </c>
      <c r="N10" s="8">
        <f>L10+M10</f>
        <v>52924.46</v>
      </c>
      <c r="P10" s="9">
        <v>0</v>
      </c>
      <c r="Q10" s="9">
        <f>529244.63-E10-I10-M10</f>
        <v>370471.24999999994</v>
      </c>
      <c r="R10" s="8">
        <f>P10+Q10</f>
        <v>370471.24999999994</v>
      </c>
      <c r="T10" s="1"/>
      <c r="U10" s="1"/>
      <c r="V10" s="1"/>
      <c r="X10" s="8">
        <f t="shared" ref="X10:Z15" si="0">D10+H10+L10+P10+T10</f>
        <v>0</v>
      </c>
      <c r="Y10" s="8">
        <f t="shared" si="0"/>
        <v>529244.62999999989</v>
      </c>
      <c r="Z10" s="8">
        <f t="shared" si="0"/>
        <v>529244.62999999989</v>
      </c>
    </row>
    <row r="11" spans="1:26" x14ac:dyDescent="0.25">
      <c r="B11" s="2" t="s">
        <v>5</v>
      </c>
      <c r="C11" s="2"/>
      <c r="D11" s="9">
        <v>0</v>
      </c>
      <c r="E11" s="9">
        <f>ROUND(4107.7/10,2)</f>
        <v>410.77</v>
      </c>
      <c r="F11" s="8">
        <f>D11+E11</f>
        <v>410.77</v>
      </c>
      <c r="H11" s="9">
        <v>0</v>
      </c>
      <c r="I11" s="9">
        <f>ROUND(4107.7/10,2)</f>
        <v>410.77</v>
      </c>
      <c r="J11" s="8">
        <f>H11+I11</f>
        <v>410.77</v>
      </c>
      <c r="L11" s="9">
        <v>0</v>
      </c>
      <c r="M11" s="9">
        <f>ROUND(4107.7/10,2)</f>
        <v>410.77</v>
      </c>
      <c r="N11" s="8">
        <f>L11+M11</f>
        <v>410.77</v>
      </c>
      <c r="P11" s="9">
        <v>0</v>
      </c>
      <c r="Q11" s="9">
        <f>4107.7-E11-I11-M11</f>
        <v>2875.39</v>
      </c>
      <c r="R11" s="8">
        <f>P11+Q11</f>
        <v>2875.39</v>
      </c>
      <c r="T11" s="1"/>
      <c r="U11" s="1"/>
      <c r="V11" s="1"/>
      <c r="X11" s="8">
        <f t="shared" si="0"/>
        <v>0</v>
      </c>
      <c r="Y11" s="8">
        <f t="shared" si="0"/>
        <v>4107.7</v>
      </c>
      <c r="Z11" s="8">
        <f t="shared" si="0"/>
        <v>4107.7</v>
      </c>
    </row>
    <row r="12" spans="1:26" x14ac:dyDescent="0.25">
      <c r="B12" s="2" t="s">
        <v>26</v>
      </c>
      <c r="C12" s="2"/>
      <c r="D12" s="9">
        <v>0</v>
      </c>
      <c r="E12" s="9">
        <v>19937.900000000001</v>
      </c>
      <c r="F12" s="8">
        <f>D12+E12</f>
        <v>19937.900000000001</v>
      </c>
      <c r="H12" s="9">
        <v>0</v>
      </c>
      <c r="I12" s="9">
        <v>19937.900000000001</v>
      </c>
      <c r="J12" s="8">
        <f>H12+I12</f>
        <v>19937.900000000001</v>
      </c>
      <c r="L12" s="9">
        <v>0</v>
      </c>
      <c r="M12" s="9">
        <v>19937.900000000001</v>
      </c>
      <c r="N12" s="8">
        <f>L12+M12</f>
        <v>19937.900000000001</v>
      </c>
      <c r="P12" s="9">
        <v>0</v>
      </c>
      <c r="Q12" s="9">
        <v>139565.30000000002</v>
      </c>
      <c r="R12" s="8">
        <f>P12+Q12</f>
        <v>139565.30000000002</v>
      </c>
      <c r="T12" s="1"/>
      <c r="U12" s="1"/>
      <c r="V12" s="1"/>
      <c r="X12" s="8">
        <f t="shared" si="0"/>
        <v>0</v>
      </c>
      <c r="Y12" s="8">
        <f t="shared" si="0"/>
        <v>199379.00000000003</v>
      </c>
      <c r="Z12" s="8">
        <f t="shared" si="0"/>
        <v>199379.00000000003</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117</v>
      </c>
      <c r="C14" s="2"/>
      <c r="D14" s="11">
        <v>0</v>
      </c>
      <c r="E14" s="11">
        <f>ROUND(6091.43/10,2)</f>
        <v>609.14</v>
      </c>
      <c r="F14" s="12">
        <f>D14+E14</f>
        <v>609.14</v>
      </c>
      <c r="H14" s="11">
        <v>0</v>
      </c>
      <c r="I14" s="11">
        <f>ROUND(6091.43/10,2)</f>
        <v>609.14</v>
      </c>
      <c r="J14" s="12">
        <f>H14+I14</f>
        <v>609.14</v>
      </c>
      <c r="L14" s="11">
        <v>0</v>
      </c>
      <c r="M14" s="11">
        <f>ROUND(6091.43/10,2)</f>
        <v>609.14</v>
      </c>
      <c r="N14" s="12">
        <f>L14+M14</f>
        <v>609.14</v>
      </c>
      <c r="P14" s="11">
        <v>0</v>
      </c>
      <c r="Q14" s="11">
        <f>6091.43-E14-I14-M14</f>
        <v>4264.0099999999993</v>
      </c>
      <c r="R14" s="12">
        <f>P14+Q14</f>
        <v>4264.0099999999993</v>
      </c>
      <c r="T14" s="3"/>
      <c r="U14" s="3"/>
      <c r="V14" s="3"/>
      <c r="X14" s="12">
        <f t="shared" si="0"/>
        <v>0</v>
      </c>
      <c r="Y14" s="12">
        <f t="shared" si="0"/>
        <v>6091.4299999999994</v>
      </c>
      <c r="Z14" s="12">
        <f t="shared" si="0"/>
        <v>6091.4299999999994</v>
      </c>
    </row>
    <row r="15" spans="1:26" x14ac:dyDescent="0.25">
      <c r="B15" s="2" t="s">
        <v>28</v>
      </c>
      <c r="C15" s="2"/>
      <c r="D15" s="26">
        <f>SUM(D10:D14)</f>
        <v>0</v>
      </c>
      <c r="E15" s="26">
        <f>SUM(E10:E14)</f>
        <v>73882.27</v>
      </c>
      <c r="F15" s="26">
        <f>D15+E15</f>
        <v>73882.27</v>
      </c>
      <c r="H15" s="26">
        <f>SUM(H10:H14)</f>
        <v>0</v>
      </c>
      <c r="I15" s="26">
        <f>SUM(I10:I14)</f>
        <v>73882.27</v>
      </c>
      <c r="J15" s="26">
        <f>H15+I15</f>
        <v>73882.27</v>
      </c>
      <c r="L15" s="26">
        <f>SUM(L10:L14)</f>
        <v>0</v>
      </c>
      <c r="M15" s="26">
        <f>SUM(M10:M14)</f>
        <v>73882.27</v>
      </c>
      <c r="N15" s="26">
        <f>L15+M15</f>
        <v>73882.27</v>
      </c>
      <c r="P15" s="26">
        <f>SUM(P10:P14)</f>
        <v>0</v>
      </c>
      <c r="Q15" s="26">
        <f>SUM(Q10:Q14)</f>
        <v>517175.94999999995</v>
      </c>
      <c r="R15" s="26">
        <f>P15+Q15</f>
        <v>517175.94999999995</v>
      </c>
      <c r="S15" s="1"/>
      <c r="T15" s="26">
        <f>SUM(T10:T14)</f>
        <v>0</v>
      </c>
      <c r="U15" s="26">
        <f>SUM(U10:U14)</f>
        <v>0</v>
      </c>
      <c r="V15" s="26">
        <f>T15+U15</f>
        <v>0</v>
      </c>
      <c r="X15" s="26">
        <f t="shared" si="0"/>
        <v>0</v>
      </c>
      <c r="Y15" s="26">
        <f t="shared" si="0"/>
        <v>738822.76</v>
      </c>
      <c r="Z15" s="26">
        <f t="shared" si="0"/>
        <v>738822.76</v>
      </c>
    </row>
    <row r="16" spans="1:26" x14ac:dyDescent="0.25">
      <c r="D16" s="1"/>
      <c r="E16" s="1"/>
      <c r="F16" s="1"/>
      <c r="H16" s="1"/>
      <c r="I16" s="1"/>
      <c r="J16" s="1"/>
      <c r="L16" s="1"/>
      <c r="M16" s="1"/>
      <c r="N16" s="1"/>
      <c r="P16" s="1"/>
      <c r="Q16" s="1"/>
      <c r="R16" s="1"/>
      <c r="T16" s="1"/>
      <c r="U16" s="1"/>
      <c r="V16" s="1"/>
    </row>
    <row r="17" spans="2:26" x14ac:dyDescent="0.25">
      <c r="B17" s="5" t="s">
        <v>123</v>
      </c>
      <c r="C17" s="5"/>
      <c r="D17" s="1"/>
      <c r="E17" s="1"/>
      <c r="F17" s="1"/>
      <c r="H17" s="1"/>
      <c r="I17" s="1"/>
      <c r="J17" s="1"/>
      <c r="L17" s="1"/>
      <c r="M17" s="1"/>
      <c r="N17" s="1"/>
      <c r="P17" s="1"/>
      <c r="Q17" s="1"/>
      <c r="T17" s="1"/>
      <c r="U17" s="1"/>
      <c r="V17" s="1"/>
    </row>
    <row r="18" spans="2:26" x14ac:dyDescent="0.25">
      <c r="B18" s="2" t="s">
        <v>52</v>
      </c>
      <c r="C18" s="2"/>
      <c r="H18" s="1"/>
      <c r="I18" s="1"/>
      <c r="J18" s="1"/>
      <c r="L18" s="1"/>
      <c r="M18" s="1"/>
      <c r="N18" s="1"/>
      <c r="P18" s="9">
        <v>-26000</v>
      </c>
      <c r="Q18" s="9">
        <v>0</v>
      </c>
      <c r="R18" s="8">
        <f>P18+Q18</f>
        <v>-26000</v>
      </c>
      <c r="T18" s="9">
        <v>26000</v>
      </c>
      <c r="U18" s="9">
        <v>0</v>
      </c>
      <c r="V18" s="8">
        <f>T18+U18</f>
        <v>26000</v>
      </c>
      <c r="X18" s="8">
        <f t="shared" ref="X18:Z19" si="8">D18+H18+L18+P18+T18</f>
        <v>0</v>
      </c>
      <c r="Y18" s="8">
        <f t="shared" si="8"/>
        <v>0</v>
      </c>
      <c r="Z18" s="8">
        <f t="shared" si="8"/>
        <v>0</v>
      </c>
    </row>
    <row r="19" spans="2:26" x14ac:dyDescent="0.25">
      <c r="B19" s="2" t="s">
        <v>81</v>
      </c>
      <c r="C19" s="6" t="s">
        <v>17</v>
      </c>
      <c r="H19" s="1"/>
      <c r="I19" s="1"/>
      <c r="J19" s="1"/>
      <c r="L19" s="9">
        <f>75000-23000</f>
        <v>52000</v>
      </c>
      <c r="M19" s="8">
        <f>-L19</f>
        <v>-52000</v>
      </c>
      <c r="N19" s="8">
        <f>L19+M19</f>
        <v>0</v>
      </c>
      <c r="P19" s="9">
        <f>494012.5-75000-55013</f>
        <v>363999.5</v>
      </c>
      <c r="Q19" s="8">
        <f>-P19</f>
        <v>-363999.5</v>
      </c>
      <c r="R19" s="8">
        <f>P19+Q19</f>
        <v>0</v>
      </c>
      <c r="X19" s="8">
        <f t="shared" si="8"/>
        <v>415999.5</v>
      </c>
      <c r="Y19" s="8">
        <f t="shared" si="8"/>
        <v>-415999.5</v>
      </c>
      <c r="Z19" s="8">
        <f t="shared" si="8"/>
        <v>0</v>
      </c>
    </row>
    <row r="20" spans="2:26" x14ac:dyDescent="0.25">
      <c r="B20" s="2" t="s">
        <v>581</v>
      </c>
      <c r="C20" s="6" t="s">
        <v>24</v>
      </c>
      <c r="H20" s="1"/>
      <c r="I20" s="1"/>
      <c r="J20" s="1"/>
      <c r="L20" s="1"/>
      <c r="M20" s="1"/>
      <c r="N20" s="1"/>
      <c r="P20" s="9">
        <f>75000-75000</f>
        <v>0</v>
      </c>
      <c r="Q20" s="9">
        <f>-P20</f>
        <v>0</v>
      </c>
      <c r="R20" s="8">
        <f>P20+Q20</f>
        <v>0</v>
      </c>
      <c r="X20" s="8">
        <f t="shared" ref="X20:Z22" si="9">D20+H20+L20+P20+T20</f>
        <v>0</v>
      </c>
      <c r="Y20" s="8">
        <f t="shared" si="9"/>
        <v>0</v>
      </c>
      <c r="Z20" s="8">
        <f t="shared" si="9"/>
        <v>0</v>
      </c>
    </row>
    <row r="21" spans="2:26" ht="15.75" thickBot="1" x14ac:dyDescent="0.3">
      <c r="B21" s="2" t="s">
        <v>97</v>
      </c>
      <c r="C21" s="6" t="s">
        <v>25</v>
      </c>
      <c r="D21" s="4"/>
      <c r="E21" s="4"/>
      <c r="F21" s="4"/>
      <c r="H21" s="11">
        <v>35000</v>
      </c>
      <c r="I21" s="12">
        <f>-H21</f>
        <v>-35000</v>
      </c>
      <c r="J21" s="8">
        <f>H21+I21</f>
        <v>0</v>
      </c>
      <c r="L21" s="3"/>
      <c r="M21" s="3"/>
      <c r="N21" s="3"/>
      <c r="P21" s="3"/>
      <c r="Q21" s="3"/>
      <c r="R21" s="3"/>
      <c r="T21" s="4"/>
      <c r="U21" s="4"/>
      <c r="V21" s="4"/>
      <c r="X21" s="12">
        <f t="shared" si="9"/>
        <v>35000</v>
      </c>
      <c r="Y21" s="12">
        <f t="shared" si="9"/>
        <v>-35000</v>
      </c>
      <c r="Z21" s="12">
        <f t="shared" si="9"/>
        <v>0</v>
      </c>
    </row>
    <row r="22" spans="2:26" x14ac:dyDescent="0.25">
      <c r="B22" s="2" t="s">
        <v>37</v>
      </c>
      <c r="C22" s="2"/>
      <c r="D22" s="26">
        <f>SUM(D18:D21)</f>
        <v>0</v>
      </c>
      <c r="E22" s="26">
        <f>SUM(E18:E21)</f>
        <v>0</v>
      </c>
      <c r="F22" s="26">
        <f>D22+E22</f>
        <v>0</v>
      </c>
      <c r="H22" s="26">
        <f>SUM(H18:H21)</f>
        <v>35000</v>
      </c>
      <c r="I22" s="26">
        <f>SUM(I18:I21)</f>
        <v>-35000</v>
      </c>
      <c r="J22" s="26">
        <f>H22+I22</f>
        <v>0</v>
      </c>
      <c r="L22" s="26">
        <f>SUM(L18:L21)</f>
        <v>52000</v>
      </c>
      <c r="M22" s="26">
        <f>SUM(M18:M21)</f>
        <v>-52000</v>
      </c>
      <c r="N22" s="26">
        <f>L22+M22</f>
        <v>0</v>
      </c>
      <c r="P22" s="26">
        <f>SUM(P18:P21)</f>
        <v>337999.5</v>
      </c>
      <c r="Q22" s="26">
        <f>SUM(Q18:Q21)</f>
        <v>-363999.5</v>
      </c>
      <c r="R22" s="26">
        <f>P22+Q22</f>
        <v>-26000</v>
      </c>
      <c r="S22" s="1"/>
      <c r="T22" s="26">
        <f>SUM(T18:T21)</f>
        <v>26000</v>
      </c>
      <c r="U22" s="26">
        <f>SUM(U18:U21)</f>
        <v>0</v>
      </c>
      <c r="V22" s="26">
        <f>T22+U22</f>
        <v>26000</v>
      </c>
      <c r="X22" s="26">
        <f t="shared" si="9"/>
        <v>450999.5</v>
      </c>
      <c r="Y22" s="26">
        <f t="shared" si="9"/>
        <v>-450999.5</v>
      </c>
      <c r="Z22" s="26">
        <f t="shared" si="9"/>
        <v>0</v>
      </c>
    </row>
    <row r="23" spans="2:26" x14ac:dyDescent="0.25">
      <c r="H23" s="1"/>
      <c r="I23" s="1"/>
      <c r="J23" s="1"/>
      <c r="L23" s="1"/>
      <c r="M23" s="1"/>
      <c r="N23" s="1"/>
      <c r="P23" s="1"/>
      <c r="Q23" s="1"/>
      <c r="R23" s="1"/>
    </row>
    <row r="24" spans="2:26" x14ac:dyDescent="0.25">
      <c r="B24" s="5" t="s">
        <v>124</v>
      </c>
      <c r="C24" s="5"/>
      <c r="H24" s="1"/>
      <c r="I24" s="1"/>
      <c r="J24" s="1"/>
      <c r="L24" s="1"/>
      <c r="M24" s="1"/>
      <c r="N24" s="1"/>
      <c r="P24" s="1"/>
      <c r="Q24" s="1"/>
      <c r="R24" s="1"/>
      <c r="T24" s="1"/>
      <c r="U24" s="1"/>
      <c r="V24" s="1"/>
    </row>
    <row r="25" spans="2:26" x14ac:dyDescent="0.25">
      <c r="B25" s="2" t="s">
        <v>52</v>
      </c>
      <c r="C25" s="2"/>
      <c r="H25" s="1"/>
      <c r="I25" s="1"/>
      <c r="J25" s="1"/>
      <c r="L25" s="1"/>
      <c r="M25" s="1"/>
      <c r="N25" s="1"/>
      <c r="P25" s="9">
        <v>0</v>
      </c>
      <c r="Q25" s="8">
        <f>-T25</f>
        <v>-9379</v>
      </c>
      <c r="R25" s="8">
        <f>P25+Q25</f>
        <v>-9379</v>
      </c>
      <c r="T25" s="9">
        <f>10000-621</f>
        <v>9379</v>
      </c>
      <c r="U25" s="9">
        <v>0</v>
      </c>
      <c r="V25" s="8">
        <f>T25+U25</f>
        <v>9379</v>
      </c>
      <c r="X25" s="8">
        <f t="shared" ref="X25:Y27" si="10">D25+H25+L25+P25+T25</f>
        <v>9379</v>
      </c>
      <c r="Y25" s="8">
        <f t="shared" si="10"/>
        <v>-9379</v>
      </c>
      <c r="Z25" s="8">
        <f>X25+Y25</f>
        <v>0</v>
      </c>
    </row>
    <row r="26" spans="2:26" ht="15.75" thickBot="1" x14ac:dyDescent="0.3">
      <c r="B26" s="2" t="s">
        <v>27</v>
      </c>
      <c r="C26" s="6" t="s">
        <v>98</v>
      </c>
      <c r="D26" s="4"/>
      <c r="E26" s="4"/>
      <c r="F26" s="4"/>
      <c r="H26" s="3"/>
      <c r="I26" s="3"/>
      <c r="J26" s="3"/>
      <c r="L26" s="3"/>
      <c r="M26" s="3"/>
      <c r="N26" s="3"/>
      <c r="P26" s="11">
        <v>20000</v>
      </c>
      <c r="Q26" s="12">
        <f>-P26</f>
        <v>-20000</v>
      </c>
      <c r="R26" s="12">
        <f>P26+Q26</f>
        <v>0</v>
      </c>
      <c r="T26" s="3"/>
      <c r="U26" s="3"/>
      <c r="V26" s="3"/>
      <c r="X26" s="12">
        <f t="shared" si="10"/>
        <v>20000</v>
      </c>
      <c r="Y26" s="12">
        <f t="shared" si="10"/>
        <v>-20000</v>
      </c>
      <c r="Z26" s="12">
        <f>X26+Y26</f>
        <v>0</v>
      </c>
    </row>
    <row r="27" spans="2:26" x14ac:dyDescent="0.25">
      <c r="B27" s="2" t="s">
        <v>38</v>
      </c>
      <c r="C27" s="2"/>
      <c r="D27" s="26">
        <f>SUM(D25:D26)</f>
        <v>0</v>
      </c>
      <c r="E27" s="26">
        <f>SUM(E25:E26)</f>
        <v>0</v>
      </c>
      <c r="F27" s="26">
        <f>D27+E27</f>
        <v>0</v>
      </c>
      <c r="H27" s="26">
        <f>SUM(H25:H26)</f>
        <v>0</v>
      </c>
      <c r="I27" s="26">
        <f>SUM(I25:I26)</f>
        <v>0</v>
      </c>
      <c r="J27" s="26">
        <f>H27+I27</f>
        <v>0</v>
      </c>
      <c r="L27" s="26">
        <f>SUM(L25:L26)</f>
        <v>0</v>
      </c>
      <c r="M27" s="26">
        <f>SUM(M25:M26)</f>
        <v>0</v>
      </c>
      <c r="N27" s="26">
        <f>L27+M27</f>
        <v>0</v>
      </c>
      <c r="P27" s="26">
        <f>SUM(P25:P26)</f>
        <v>20000</v>
      </c>
      <c r="Q27" s="26">
        <f>SUM(Q25:Q26)</f>
        <v>-29379</v>
      </c>
      <c r="R27" s="26">
        <f>P27+Q27</f>
        <v>-9379</v>
      </c>
      <c r="S27" s="1"/>
      <c r="T27" s="26">
        <f>SUM(T25:T26)</f>
        <v>9379</v>
      </c>
      <c r="U27" s="26">
        <f>SUM(U25:U26)</f>
        <v>0</v>
      </c>
      <c r="V27" s="26">
        <f>T27+U27</f>
        <v>9379</v>
      </c>
      <c r="X27" s="26">
        <f t="shared" si="10"/>
        <v>29379</v>
      </c>
      <c r="Y27" s="26">
        <f t="shared" si="10"/>
        <v>-29379</v>
      </c>
      <c r="Z27" s="26">
        <f>X27+Y27</f>
        <v>0</v>
      </c>
    </row>
    <row r="28" spans="2:26" x14ac:dyDescent="0.25">
      <c r="H28" s="1"/>
      <c r="I28" s="1"/>
      <c r="J28" s="1"/>
      <c r="L28" s="1"/>
      <c r="M28" s="1"/>
      <c r="N28" s="1"/>
      <c r="P28" s="1"/>
      <c r="Q28" s="1"/>
      <c r="R28" s="1"/>
    </row>
    <row r="29" spans="2:26" x14ac:dyDescent="0.25">
      <c r="B29" s="5" t="s">
        <v>8</v>
      </c>
      <c r="C29" s="5"/>
      <c r="H29" s="1"/>
      <c r="I29" s="1"/>
      <c r="J29" s="1"/>
      <c r="L29" s="1"/>
      <c r="M29" s="1"/>
      <c r="N29" s="1"/>
      <c r="P29" s="1"/>
      <c r="Q29" s="1"/>
      <c r="R29" s="1"/>
      <c r="T29" s="1"/>
      <c r="U29" s="1"/>
      <c r="V29" s="1"/>
    </row>
    <row r="30" spans="2:26" x14ac:dyDescent="0.25">
      <c r="B30" s="2" t="s">
        <v>7</v>
      </c>
      <c r="C30" s="2"/>
      <c r="D30" s="1"/>
      <c r="E30" s="1"/>
      <c r="F30" s="1"/>
      <c r="H30" s="1"/>
      <c r="I30" s="1"/>
      <c r="J30" s="1"/>
      <c r="L30" s="1"/>
      <c r="M30" s="1"/>
      <c r="N30" s="1"/>
      <c r="P30" s="1"/>
      <c r="Q30" s="1"/>
      <c r="R30" s="1"/>
      <c r="T30" s="9">
        <v>-22582.3</v>
      </c>
      <c r="U30" s="9">
        <v>0</v>
      </c>
      <c r="V30" s="8">
        <f>T30+U30</f>
        <v>-22582.3</v>
      </c>
      <c r="X30" s="8">
        <f t="shared" ref="X30:Y32" si="11">D30+H30+L30+P30+T30</f>
        <v>-22582.3</v>
      </c>
      <c r="Y30" s="8">
        <f t="shared" si="11"/>
        <v>0</v>
      </c>
      <c r="Z30" s="8">
        <f>X30+Y30</f>
        <v>-22582.3</v>
      </c>
    </row>
    <row r="31" spans="2:26" x14ac:dyDescent="0.25">
      <c r="B31" s="2" t="s">
        <v>52</v>
      </c>
      <c r="C31" s="2"/>
      <c r="D31" s="1"/>
      <c r="E31" s="1"/>
      <c r="F31" s="1"/>
      <c r="H31" s="1"/>
      <c r="I31" s="1"/>
      <c r="J31" s="1"/>
      <c r="L31" s="1"/>
      <c r="M31" s="1"/>
      <c r="N31" s="1"/>
      <c r="Q31" s="1"/>
      <c r="R31" s="1"/>
      <c r="T31" s="9">
        <v>-2572.69</v>
      </c>
      <c r="U31" s="9">
        <v>0</v>
      </c>
      <c r="V31" s="8">
        <f>T31+U31</f>
        <v>-2572.69</v>
      </c>
      <c r="X31" s="8">
        <f t="shared" si="11"/>
        <v>-2572.69</v>
      </c>
      <c r="Y31" s="8">
        <f t="shared" si="11"/>
        <v>0</v>
      </c>
      <c r="Z31" s="8">
        <f>X31+Y31</f>
        <v>-2572.69</v>
      </c>
    </row>
    <row r="32" spans="2:26" x14ac:dyDescent="0.25">
      <c r="B32" s="2" t="s">
        <v>567</v>
      </c>
      <c r="C32" s="6" t="s">
        <v>16</v>
      </c>
      <c r="E32" s="1"/>
      <c r="F32" s="1"/>
      <c r="H32" s="1"/>
      <c r="I32" s="1"/>
      <c r="J32" s="1"/>
      <c r="L32" s="1"/>
      <c r="M32" s="1"/>
      <c r="N32" s="1"/>
      <c r="P32" s="9">
        <v>0</v>
      </c>
      <c r="Q32" s="9">
        <v>0</v>
      </c>
      <c r="R32" s="8">
        <f>P32+Q32</f>
        <v>0</v>
      </c>
      <c r="T32" s="1"/>
      <c r="U32" s="1"/>
      <c r="V32" s="1"/>
      <c r="X32" s="8">
        <f t="shared" si="11"/>
        <v>0</v>
      </c>
      <c r="Y32" s="8">
        <f t="shared" si="11"/>
        <v>0</v>
      </c>
      <c r="Z32" s="8">
        <f>X32+Y32</f>
        <v>0</v>
      </c>
    </row>
    <row r="33" spans="1:26" x14ac:dyDescent="0.25">
      <c r="B33" s="2" t="s">
        <v>81</v>
      </c>
      <c r="C33" s="6" t="s">
        <v>17</v>
      </c>
      <c r="D33" s="1"/>
      <c r="E33" s="1"/>
      <c r="F33" s="1"/>
      <c r="H33" s="1"/>
      <c r="I33" s="1"/>
      <c r="J33" s="1"/>
      <c r="L33" s="9">
        <v>-75000</v>
      </c>
      <c r="M33" s="9">
        <v>0</v>
      </c>
      <c r="N33" s="8">
        <f>L33+M33</f>
        <v>-75000</v>
      </c>
      <c r="P33" s="8">
        <f>-494012.5+75000</f>
        <v>-419012.5</v>
      </c>
      <c r="Q33" s="8">
        <v>0</v>
      </c>
      <c r="R33" s="8">
        <f>P33+Q33</f>
        <v>-419012.5</v>
      </c>
      <c r="T33" s="1"/>
      <c r="U33" s="1"/>
      <c r="V33" s="1"/>
      <c r="X33" s="8">
        <f t="shared" ref="X33:X39" si="12">D33+H33+L33+P33+T33</f>
        <v>-494012.5</v>
      </c>
      <c r="Y33" s="8">
        <f t="shared" ref="Y33:Y39" si="13">E33+I33+M33+Q33+U33</f>
        <v>0</v>
      </c>
      <c r="Z33" s="8">
        <f t="shared" ref="Z33:Z39" si="14">X33+Y33</f>
        <v>-494012.5</v>
      </c>
    </row>
    <row r="34" spans="1:26" x14ac:dyDescent="0.25">
      <c r="B34" s="2" t="s">
        <v>539</v>
      </c>
      <c r="C34" s="6" t="s">
        <v>18</v>
      </c>
      <c r="D34" s="1"/>
      <c r="E34" s="1"/>
      <c r="F34" s="1"/>
      <c r="H34" s="1"/>
      <c r="I34" s="1"/>
      <c r="J34" s="1"/>
      <c r="L34" s="1"/>
      <c r="M34" s="1"/>
      <c r="N34" s="1"/>
      <c r="P34" s="9">
        <v>-686.5</v>
      </c>
      <c r="Q34" s="9">
        <v>0</v>
      </c>
      <c r="R34" s="8">
        <f>P34+Q34</f>
        <v>-686.5</v>
      </c>
      <c r="T34" s="1"/>
      <c r="U34" s="1"/>
      <c r="V34" s="1"/>
      <c r="X34" s="8">
        <f t="shared" ref="X34:X35" si="15">D34+H34+L34+P34+T34</f>
        <v>-686.5</v>
      </c>
      <c r="Y34" s="8">
        <f t="shared" ref="Y34:Y35" si="16">E34+I34+M34+Q34+U34</f>
        <v>0</v>
      </c>
      <c r="Z34" s="8">
        <f t="shared" ref="Z34:Z35" si="17">X34+Y34</f>
        <v>-686.5</v>
      </c>
    </row>
    <row r="35" spans="1:26" x14ac:dyDescent="0.25">
      <c r="B35" s="2" t="s">
        <v>480</v>
      </c>
      <c r="C35" s="6" t="s">
        <v>19</v>
      </c>
      <c r="D35" s="9">
        <v>0</v>
      </c>
      <c r="E35" s="9">
        <v>0</v>
      </c>
      <c r="F35" s="8">
        <f>D35+E35</f>
        <v>0</v>
      </c>
      <c r="H35" s="1"/>
      <c r="I35" s="1"/>
      <c r="J35" s="1"/>
      <c r="L35" s="1"/>
      <c r="M35" s="1"/>
      <c r="N35" s="1"/>
      <c r="P35" s="1"/>
      <c r="Q35" s="1"/>
      <c r="R35" s="1"/>
      <c r="T35" s="1"/>
      <c r="U35" s="1"/>
      <c r="V35" s="1"/>
      <c r="X35" s="8">
        <f t="shared" si="15"/>
        <v>0</v>
      </c>
      <c r="Y35" s="8">
        <f t="shared" si="16"/>
        <v>0</v>
      </c>
      <c r="Z35" s="8">
        <f t="shared" si="17"/>
        <v>0</v>
      </c>
    </row>
    <row r="36" spans="1:26" x14ac:dyDescent="0.25">
      <c r="B36" s="2" t="s">
        <v>1</v>
      </c>
      <c r="C36" s="6" t="s">
        <v>20</v>
      </c>
      <c r="D36" s="1"/>
      <c r="E36" s="1"/>
      <c r="F36" s="1"/>
      <c r="H36" s="1"/>
      <c r="I36" s="1"/>
      <c r="J36" s="1"/>
      <c r="L36" s="1"/>
      <c r="M36" s="1"/>
      <c r="N36" s="1"/>
      <c r="P36" s="8">
        <v>-33309.129999999997</v>
      </c>
      <c r="Q36" s="8">
        <v>0</v>
      </c>
      <c r="R36" s="8">
        <f>P36+Q36</f>
        <v>-33309.129999999997</v>
      </c>
      <c r="U36" s="1"/>
      <c r="V36" s="1"/>
      <c r="X36" s="8">
        <f t="shared" si="12"/>
        <v>-33309.129999999997</v>
      </c>
      <c r="Y36" s="8">
        <f t="shared" si="13"/>
        <v>0</v>
      </c>
      <c r="Z36" s="8">
        <f t="shared" si="14"/>
        <v>-33309.129999999997</v>
      </c>
    </row>
    <row r="37" spans="1:26" x14ac:dyDescent="0.25">
      <c r="B37" s="2" t="s">
        <v>9</v>
      </c>
      <c r="C37" s="6" t="s">
        <v>21</v>
      </c>
      <c r="D37" s="1"/>
      <c r="E37" s="1"/>
      <c r="F37" s="1"/>
      <c r="H37" s="9">
        <v>-14000</v>
      </c>
      <c r="I37" s="9">
        <v>0</v>
      </c>
      <c r="J37" s="8">
        <f>H37+I37</f>
        <v>-14000</v>
      </c>
      <c r="L37" s="1"/>
      <c r="M37" s="1"/>
      <c r="N37" s="1"/>
      <c r="P37" s="1"/>
      <c r="Q37" s="1"/>
      <c r="R37" s="1"/>
      <c r="T37" s="1"/>
      <c r="U37" s="1"/>
      <c r="V37" s="1"/>
      <c r="X37" s="8">
        <f t="shared" si="12"/>
        <v>-14000</v>
      </c>
      <c r="Y37" s="8">
        <f t="shared" si="13"/>
        <v>0</v>
      </c>
      <c r="Z37" s="8">
        <f t="shared" si="14"/>
        <v>-14000</v>
      </c>
    </row>
    <row r="38" spans="1:26" x14ac:dyDescent="0.25">
      <c r="B38" s="2" t="s">
        <v>112</v>
      </c>
      <c r="C38" s="6" t="s">
        <v>22</v>
      </c>
      <c r="D38" s="1"/>
      <c r="E38" s="1"/>
      <c r="F38" s="1"/>
      <c r="H38" s="9">
        <v>-79597.490000000005</v>
      </c>
      <c r="I38" s="9">
        <v>0</v>
      </c>
      <c r="J38" s="8">
        <f>H38+I38</f>
        <v>-79597.490000000005</v>
      </c>
      <c r="L38" s="1"/>
      <c r="M38" s="1"/>
      <c r="N38" s="1"/>
      <c r="P38" s="9">
        <v>-37000</v>
      </c>
      <c r="Q38" s="9">
        <v>0</v>
      </c>
      <c r="R38" s="8">
        <f>P38+Q38</f>
        <v>-37000</v>
      </c>
      <c r="T38" s="1"/>
      <c r="U38" s="1"/>
      <c r="V38" s="1"/>
      <c r="X38" s="8">
        <f t="shared" si="12"/>
        <v>-116597.49</v>
      </c>
      <c r="Y38" s="8">
        <f t="shared" si="13"/>
        <v>0</v>
      </c>
      <c r="Z38" s="8">
        <f t="shared" si="14"/>
        <v>-116597.49</v>
      </c>
    </row>
    <row r="39" spans="1:26" x14ac:dyDescent="0.25">
      <c r="A39" s="2"/>
      <c r="B39" s="2" t="s">
        <v>78</v>
      </c>
      <c r="C39" s="6" t="s">
        <v>23</v>
      </c>
      <c r="D39" s="1"/>
      <c r="E39" s="1"/>
      <c r="F39" s="1"/>
      <c r="H39" s="1"/>
      <c r="I39" s="1"/>
      <c r="J39" s="1"/>
      <c r="L39" s="1"/>
      <c r="M39" s="1"/>
      <c r="N39" s="1"/>
      <c r="P39" s="1"/>
      <c r="Q39" s="1"/>
      <c r="R39" s="1"/>
      <c r="T39" s="1"/>
      <c r="U39" s="1"/>
      <c r="V39" s="1"/>
      <c r="X39" s="8">
        <f t="shared" si="12"/>
        <v>0</v>
      </c>
      <c r="Y39" s="8">
        <f t="shared" si="13"/>
        <v>0</v>
      </c>
      <c r="Z39" s="8">
        <f t="shared" si="14"/>
        <v>0</v>
      </c>
    </row>
    <row r="40" spans="1:26" x14ac:dyDescent="0.25">
      <c r="B40" s="2" t="s">
        <v>581</v>
      </c>
      <c r="C40" s="6" t="s">
        <v>24</v>
      </c>
      <c r="E40" s="1"/>
      <c r="F40" s="1"/>
      <c r="H40" s="1"/>
      <c r="I40" s="1"/>
      <c r="J40" s="1"/>
      <c r="L40" s="1"/>
      <c r="M40" s="1"/>
      <c r="N40" s="1"/>
      <c r="P40" s="9">
        <v>-75000</v>
      </c>
      <c r="Q40" s="9">
        <v>0</v>
      </c>
      <c r="R40" s="8">
        <f>P40+Q40</f>
        <v>-75000</v>
      </c>
      <c r="T40" s="1"/>
      <c r="U40" s="1"/>
      <c r="V40" s="1"/>
      <c r="X40" s="8">
        <f t="shared" ref="X40:X42" si="18">D40+H40+L40+P40+T40</f>
        <v>-75000</v>
      </c>
      <c r="Y40" s="8">
        <f t="shared" ref="Y40:Y42" si="19">E40+I40+M40+Q40+U40</f>
        <v>0</v>
      </c>
      <c r="Z40" s="8">
        <f t="shared" ref="Z40:Z42" si="20">X40+Y40</f>
        <v>-75000</v>
      </c>
    </row>
    <row r="41" spans="1:26" x14ac:dyDescent="0.25">
      <c r="B41" s="2" t="s">
        <v>97</v>
      </c>
      <c r="C41" s="6" t="s">
        <v>25</v>
      </c>
      <c r="E41" s="1"/>
      <c r="F41" s="1"/>
      <c r="H41" s="9">
        <v>-21370</v>
      </c>
      <c r="I41" s="9">
        <v>0</v>
      </c>
      <c r="J41" s="8">
        <f>H41+I41</f>
        <v>-21370</v>
      </c>
      <c r="L41" s="1"/>
      <c r="M41" s="1"/>
      <c r="N41" s="1"/>
      <c r="P41" s="1"/>
      <c r="Q41" s="1"/>
      <c r="R41" s="1"/>
      <c r="T41" s="1"/>
      <c r="U41" s="1"/>
      <c r="V41" s="1"/>
      <c r="X41" s="8">
        <f t="shared" si="18"/>
        <v>-21370</v>
      </c>
      <c r="Y41" s="8">
        <f t="shared" si="19"/>
        <v>0</v>
      </c>
      <c r="Z41" s="8">
        <f t="shared" si="20"/>
        <v>-21370</v>
      </c>
    </row>
    <row r="42" spans="1:26" ht="15.75" thickBot="1" x14ac:dyDescent="0.3">
      <c r="B42" s="2" t="s">
        <v>27</v>
      </c>
      <c r="C42" s="6" t="s">
        <v>98</v>
      </c>
      <c r="D42" s="4"/>
      <c r="E42" s="3"/>
      <c r="F42" s="3"/>
      <c r="H42" s="4"/>
      <c r="I42" s="3"/>
      <c r="J42" s="3"/>
      <c r="L42" s="4"/>
      <c r="M42" s="3"/>
      <c r="N42" s="3"/>
      <c r="P42" s="11">
        <v>0</v>
      </c>
      <c r="Q42" s="11">
        <v>0</v>
      </c>
      <c r="R42" s="12">
        <f>P42+Q42</f>
        <v>0</v>
      </c>
      <c r="T42" s="4"/>
      <c r="U42" s="3"/>
      <c r="V42" s="3"/>
      <c r="X42" s="12">
        <f t="shared" si="18"/>
        <v>0</v>
      </c>
      <c r="Y42" s="12">
        <f t="shared" si="19"/>
        <v>0</v>
      </c>
      <c r="Z42" s="12">
        <f t="shared" si="20"/>
        <v>0</v>
      </c>
    </row>
    <row r="43" spans="1:26" x14ac:dyDescent="0.25">
      <c r="B43" s="2" t="s">
        <v>31</v>
      </c>
      <c r="C43" s="2"/>
      <c r="D43" s="26">
        <f>SUM(D30:D42)</f>
        <v>0</v>
      </c>
      <c r="E43" s="26">
        <f>SUM(E30:E42)</f>
        <v>0</v>
      </c>
      <c r="F43" s="26">
        <f>D43+E43</f>
        <v>0</v>
      </c>
      <c r="H43" s="26">
        <f>SUM(H30:H42)</f>
        <v>-114967.49</v>
      </c>
      <c r="I43" s="26">
        <f>SUM(I30:I42)</f>
        <v>0</v>
      </c>
      <c r="J43" s="26">
        <f>H43+I43</f>
        <v>-114967.49</v>
      </c>
      <c r="L43" s="26">
        <f>SUM(L30:L42)</f>
        <v>-75000</v>
      </c>
      <c r="M43" s="26">
        <f>SUM(M30:M42)</f>
        <v>0</v>
      </c>
      <c r="N43" s="26">
        <f>L43+M43</f>
        <v>-75000</v>
      </c>
      <c r="P43" s="26">
        <f>SUM(P30:P42)</f>
        <v>-565008.13</v>
      </c>
      <c r="Q43" s="26">
        <f>SUM(Q30:Q42)</f>
        <v>0</v>
      </c>
      <c r="R43" s="26">
        <f>P43+Q43</f>
        <v>-565008.13</v>
      </c>
      <c r="S43" s="1"/>
      <c r="T43" s="26">
        <f>SUM(T30:T42)</f>
        <v>-25154.989999999998</v>
      </c>
      <c r="U43" s="26">
        <f>SUM(U30:U42)</f>
        <v>0</v>
      </c>
      <c r="V43" s="26">
        <f>T43+U43</f>
        <v>-25154.989999999998</v>
      </c>
      <c r="X43" s="26">
        <f>SUM(X30:X42)</f>
        <v>-780130.61</v>
      </c>
      <c r="Y43" s="26">
        <f>SUM(Y30:Y42)</f>
        <v>0</v>
      </c>
      <c r="Z43" s="26">
        <f>X43+Y43</f>
        <v>-780130.61</v>
      </c>
    </row>
    <row r="44" spans="1:26" x14ac:dyDescent="0.25">
      <c r="D44" s="1"/>
      <c r="E44" s="1"/>
      <c r="F44" s="1"/>
      <c r="H44" s="1"/>
      <c r="I44" s="1"/>
      <c r="J44" s="1"/>
      <c r="L44" s="1"/>
      <c r="M44" s="1"/>
      <c r="N44" s="1"/>
      <c r="P44" s="1"/>
      <c r="Q44" s="1"/>
      <c r="R44" s="1"/>
      <c r="T44" s="1"/>
      <c r="U44" s="1"/>
      <c r="V44" s="1"/>
      <c r="X44" s="1"/>
    </row>
    <row r="45" spans="1:26" x14ac:dyDescent="0.25">
      <c r="B45" s="5" t="s">
        <v>10</v>
      </c>
      <c r="C45" s="5"/>
      <c r="D45" s="1"/>
      <c r="E45" s="1"/>
      <c r="F45" s="1"/>
      <c r="L45" s="1"/>
      <c r="M45" s="1"/>
      <c r="N45" s="1"/>
    </row>
    <row r="46" spans="1:26" x14ac:dyDescent="0.25">
      <c r="B46" s="2" t="s">
        <v>7</v>
      </c>
      <c r="C46" s="2"/>
      <c r="D46" s="1"/>
      <c r="E46" s="1"/>
      <c r="F46" s="1"/>
      <c r="L46" s="1"/>
      <c r="M46" s="1"/>
      <c r="N46" s="1"/>
      <c r="T46" s="9">
        <v>0</v>
      </c>
      <c r="U46" s="9">
        <v>0</v>
      </c>
      <c r="V46" s="8">
        <f>T46+U46</f>
        <v>0</v>
      </c>
      <c r="X46" s="8">
        <f t="shared" ref="X46" si="21">D46+H46+L46+P46+T46</f>
        <v>0</v>
      </c>
      <c r="Y46" s="8">
        <f t="shared" ref="Y46" si="22">E46+I46+M46+Q46+U46</f>
        <v>0</v>
      </c>
      <c r="Z46" s="8">
        <f>X46+Y46</f>
        <v>0</v>
      </c>
    </row>
    <row r="47" spans="1:26" x14ac:dyDescent="0.25">
      <c r="B47" s="2" t="s">
        <v>52</v>
      </c>
      <c r="C47" s="2"/>
      <c r="D47" s="1"/>
      <c r="E47" s="1"/>
      <c r="F47" s="1"/>
      <c r="L47" s="1"/>
      <c r="M47" s="1"/>
      <c r="N47" s="1"/>
      <c r="P47" s="9">
        <v>0</v>
      </c>
      <c r="Q47" s="8">
        <f>-T47</f>
        <v>10224.01</v>
      </c>
      <c r="R47" s="8">
        <f>P47+Q47</f>
        <v>10224.01</v>
      </c>
      <c r="T47" s="14">
        <v>-10224.01</v>
      </c>
      <c r="U47" s="14">
        <v>0</v>
      </c>
      <c r="V47" s="15">
        <f>T47+U47</f>
        <v>-10224.01</v>
      </c>
      <c r="X47" s="8">
        <f t="shared" ref="X47" si="23">D47+H47+L47+P47+T47</f>
        <v>-10224.01</v>
      </c>
      <c r="Y47" s="8">
        <f t="shared" ref="Y47" si="24">E47+I47+M47+Q47+U47</f>
        <v>10224.01</v>
      </c>
      <c r="Z47" s="8">
        <f>X47+Y47</f>
        <v>0</v>
      </c>
    </row>
    <row r="48" spans="1:26" x14ac:dyDescent="0.25">
      <c r="B48" s="2" t="s">
        <v>567</v>
      </c>
      <c r="C48" s="6" t="s">
        <v>16</v>
      </c>
      <c r="P48" s="9">
        <v>-19248.34</v>
      </c>
      <c r="Q48" s="8">
        <f>-P48</f>
        <v>19248.34</v>
      </c>
      <c r="R48" s="8">
        <f>P48+Q48</f>
        <v>0</v>
      </c>
      <c r="X48" s="8">
        <f t="shared" ref="X48" si="25">D48+H48+L48+P48+T48</f>
        <v>-19248.34</v>
      </c>
      <c r="Y48" s="8">
        <f t="shared" ref="Y48" si="26">E48+I48+M48+Q48+U48</f>
        <v>19248.34</v>
      </c>
      <c r="Z48" s="8">
        <f>X48+Y48</f>
        <v>0</v>
      </c>
    </row>
    <row r="49" spans="2:26" ht="15.75" thickBot="1" x14ac:dyDescent="0.3">
      <c r="B49" s="2" t="s">
        <v>81</v>
      </c>
      <c r="C49" s="6" t="s">
        <v>17</v>
      </c>
      <c r="T49" s="9">
        <v>0</v>
      </c>
      <c r="U49" s="9">
        <v>0</v>
      </c>
      <c r="V49" s="8">
        <f>T49+U49</f>
        <v>0</v>
      </c>
      <c r="X49" s="8">
        <f t="shared" ref="X49:Y50" si="27">D49+H49+L49+P49+T49</f>
        <v>0</v>
      </c>
      <c r="Y49" s="8">
        <f t="shared" si="27"/>
        <v>0</v>
      </c>
      <c r="Z49" s="8">
        <f>X49+Y49</f>
        <v>0</v>
      </c>
    </row>
    <row r="50" spans="2:26" x14ac:dyDescent="0.25">
      <c r="B50" s="2" t="s">
        <v>39</v>
      </c>
      <c r="C50" s="2"/>
      <c r="D50" s="26">
        <f>SUM(D46:D49)</f>
        <v>0</v>
      </c>
      <c r="E50" s="26">
        <f>SUM(E46:E49)</f>
        <v>0</v>
      </c>
      <c r="F50" s="26">
        <f>D50+E50</f>
        <v>0</v>
      </c>
      <c r="H50" s="26">
        <f>SUM(H46:H49)</f>
        <v>0</v>
      </c>
      <c r="I50" s="26">
        <f>SUM(I46:I49)</f>
        <v>0</v>
      </c>
      <c r="J50" s="26">
        <f>H50+I50</f>
        <v>0</v>
      </c>
      <c r="L50" s="26">
        <f>SUM(L46:L49)</f>
        <v>0</v>
      </c>
      <c r="M50" s="26">
        <f>SUM(M46:M49)</f>
        <v>0</v>
      </c>
      <c r="N50" s="26">
        <f>L50+M50</f>
        <v>0</v>
      </c>
      <c r="P50" s="26">
        <f>SUM(P46:P49)</f>
        <v>-19248.34</v>
      </c>
      <c r="Q50" s="26">
        <f>SUM(Q46:Q49)</f>
        <v>29472.35</v>
      </c>
      <c r="R50" s="26">
        <f>P50+Q50</f>
        <v>10224.009999999998</v>
      </c>
      <c r="S50" s="1"/>
      <c r="T50" s="26">
        <f>SUM(T46:T49)</f>
        <v>-10224.01</v>
      </c>
      <c r="U50" s="26">
        <f>SUM(U46:U49)</f>
        <v>0</v>
      </c>
      <c r="V50" s="26">
        <f>T50+U50</f>
        <v>-10224.01</v>
      </c>
      <c r="X50" s="26">
        <f t="shared" si="27"/>
        <v>-29472.35</v>
      </c>
      <c r="Y50" s="26">
        <f t="shared" si="27"/>
        <v>29472.35</v>
      </c>
      <c r="Z50" s="26">
        <f>X50+Y50</f>
        <v>0</v>
      </c>
    </row>
    <row r="51" spans="2:26" x14ac:dyDescent="0.25">
      <c r="L51" s="1"/>
      <c r="M51" s="1"/>
      <c r="N51" s="1"/>
      <c r="P51" s="1"/>
      <c r="Q51" s="1"/>
      <c r="R51" s="1"/>
    </row>
    <row r="52" spans="2:26" x14ac:dyDescent="0.25">
      <c r="B52" s="2" t="s">
        <v>44</v>
      </c>
      <c r="C52" s="2"/>
      <c r="D52" s="8">
        <f>D7+D15+D22+D27+D43+D50</f>
        <v>7454.8</v>
      </c>
      <c r="E52" s="8">
        <f>E7+E15+E22+E27+E43+E50</f>
        <v>450262.24</v>
      </c>
      <c r="F52" s="8">
        <f>D52+E52</f>
        <v>457717.04</v>
      </c>
      <c r="H52" s="8">
        <f>H7+H15+H22+H27+H43+H50</f>
        <v>27307.509999999995</v>
      </c>
      <c r="I52" s="8">
        <f>I7+I15+I22+I27+I43+I50</f>
        <v>145895.44</v>
      </c>
      <c r="J52" s="8">
        <f>H52+I52</f>
        <v>173202.95</v>
      </c>
      <c r="L52" s="8">
        <f>L7+L15+L22+L27+L43+L50</f>
        <v>0</v>
      </c>
      <c r="M52" s="8">
        <f>M7+M15+M22+M27+M43+M50</f>
        <v>26692.290000000008</v>
      </c>
      <c r="N52" s="8">
        <f>L52+M52</f>
        <v>26692.290000000008</v>
      </c>
      <c r="P52" s="8">
        <f>P7+P15+P22+P27+P43+P50</f>
        <v>94831.370000000083</v>
      </c>
      <c r="Q52" s="8">
        <f>Q7+Q15+Q22+Q27+Q43+Q50</f>
        <v>464318.49999999988</v>
      </c>
      <c r="R52" s="8">
        <f>P52+Q52</f>
        <v>559149.87</v>
      </c>
      <c r="T52" s="8">
        <f>T7+T15+T22+T27+T43+T50</f>
        <v>0</v>
      </c>
      <c r="U52" s="8">
        <f>U7+U15+U22+U27+U43+U50</f>
        <v>0</v>
      </c>
      <c r="V52" s="8">
        <f>T52+U52</f>
        <v>0</v>
      </c>
      <c r="X52" s="8">
        <f>D52+H52+L52+P52+T52</f>
        <v>129593.68000000008</v>
      </c>
      <c r="Y52" s="8">
        <f>E52+I52+M52+Q52+U52</f>
        <v>1087168.4699999997</v>
      </c>
      <c r="Z52" s="8">
        <f>X52+Y52</f>
        <v>1216762.1499999999</v>
      </c>
    </row>
    <row r="53" spans="2:26" x14ac:dyDescent="0.25">
      <c r="L53" s="1"/>
      <c r="M53" s="1"/>
      <c r="N53" s="1"/>
      <c r="P53" s="1"/>
      <c r="Q53" s="1"/>
      <c r="R53" s="1"/>
    </row>
    <row r="54" spans="2:26" x14ac:dyDescent="0.25">
      <c r="B54" s="5" t="s">
        <v>74</v>
      </c>
      <c r="C54" s="5"/>
      <c r="L54" s="1"/>
      <c r="M54" s="1"/>
      <c r="N54" s="1"/>
      <c r="P54" s="1"/>
    </row>
    <row r="55" spans="2:26" x14ac:dyDescent="0.25">
      <c r="B55" s="2" t="s">
        <v>82</v>
      </c>
      <c r="C55" s="6" t="s">
        <v>17</v>
      </c>
      <c r="L55" s="9">
        <v>21500</v>
      </c>
      <c r="M55" s="8">
        <f>-L55</f>
        <v>-21500</v>
      </c>
      <c r="N55" s="8">
        <f>L55+M55</f>
        <v>0</v>
      </c>
      <c r="X55" s="8">
        <f t="shared" ref="X55:Y59" si="28">D55+H55+L55+P55+T55</f>
        <v>21500</v>
      </c>
      <c r="Y55" s="8">
        <f t="shared" si="28"/>
        <v>-21500</v>
      </c>
      <c r="Z55" s="8">
        <f>X55+Y55</f>
        <v>0</v>
      </c>
    </row>
    <row r="56" spans="2:26" x14ac:dyDescent="0.25">
      <c r="B56" s="2" t="s">
        <v>136</v>
      </c>
      <c r="C56" s="6" t="s">
        <v>159</v>
      </c>
      <c r="D56" s="9">
        <v>343500</v>
      </c>
      <c r="E56" s="8">
        <f>-D56</f>
        <v>-343500</v>
      </c>
      <c r="F56" s="8">
        <f>D56+E56</f>
        <v>0</v>
      </c>
      <c r="X56" s="8">
        <f t="shared" si="28"/>
        <v>343500</v>
      </c>
      <c r="Y56" s="8">
        <f t="shared" si="28"/>
        <v>-343500</v>
      </c>
      <c r="Z56" s="8">
        <f>X56+Y56</f>
        <v>0</v>
      </c>
    </row>
    <row r="57" spans="2:26" x14ac:dyDescent="0.25">
      <c r="B57" s="2" t="s">
        <v>138</v>
      </c>
      <c r="C57" s="6" t="s">
        <v>162</v>
      </c>
      <c r="H57" s="9">
        <v>140525</v>
      </c>
      <c r="I57" s="8">
        <f>-H57</f>
        <v>-140525</v>
      </c>
      <c r="J57" s="8">
        <f>H57+I57</f>
        <v>0</v>
      </c>
      <c r="X57" s="8">
        <f t="shared" si="28"/>
        <v>140525</v>
      </c>
      <c r="Y57" s="8">
        <f t="shared" si="28"/>
        <v>-140525</v>
      </c>
      <c r="Z57" s="8">
        <f>X57+Y57</f>
        <v>0</v>
      </c>
    </row>
    <row r="58" spans="2:26" ht="15.75" thickBot="1" x14ac:dyDescent="0.3">
      <c r="B58" s="2" t="s">
        <v>244</v>
      </c>
      <c r="C58" s="2"/>
      <c r="E58" s="9">
        <v>0.01</v>
      </c>
      <c r="F58" s="8">
        <f>D58+E58</f>
        <v>0.01</v>
      </c>
      <c r="I58" s="9">
        <v>0.01</v>
      </c>
      <c r="J58" s="8">
        <f>H58+I58</f>
        <v>0.01</v>
      </c>
      <c r="M58" s="9">
        <v>0.01</v>
      </c>
      <c r="N58" s="8">
        <f>L58+M58</f>
        <v>0.01</v>
      </c>
      <c r="Q58" s="9">
        <v>-0.04</v>
      </c>
      <c r="R58" s="8">
        <f>P58+Q58</f>
        <v>-0.04</v>
      </c>
      <c r="U58" s="9">
        <v>0</v>
      </c>
      <c r="V58" s="8">
        <f>T58+U58</f>
        <v>0</v>
      </c>
      <c r="X58" s="8">
        <f t="shared" si="28"/>
        <v>0</v>
      </c>
      <c r="Y58" s="8">
        <f t="shared" si="28"/>
        <v>-1.0000000000000002E-2</v>
      </c>
      <c r="Z58" s="8">
        <f>X58+Y58</f>
        <v>-1.0000000000000002E-2</v>
      </c>
    </row>
    <row r="59" spans="2:26" x14ac:dyDescent="0.25">
      <c r="B59" s="2" t="s">
        <v>42</v>
      </c>
      <c r="C59" s="2"/>
      <c r="D59" s="26">
        <f>SUM(D55:D58)</f>
        <v>343500</v>
      </c>
      <c r="E59" s="26">
        <f>SUM(E55:E58)</f>
        <v>-343499.99</v>
      </c>
      <c r="F59" s="26">
        <f>D59+E59</f>
        <v>1.0000000009313226E-2</v>
      </c>
      <c r="H59" s="26">
        <f>SUM(H55:H58)</f>
        <v>140525</v>
      </c>
      <c r="I59" s="26">
        <f>SUM(I55:I58)</f>
        <v>-140524.99</v>
      </c>
      <c r="J59" s="26">
        <f>H59+I59</f>
        <v>1.0000000009313226E-2</v>
      </c>
      <c r="L59" s="26">
        <f>SUM(L55:L58)</f>
        <v>21500</v>
      </c>
      <c r="M59" s="26">
        <f>SUM(M55:M58)</f>
        <v>-21499.99</v>
      </c>
      <c r="N59" s="26">
        <f>L59+M59</f>
        <v>9.9999999983992893E-3</v>
      </c>
      <c r="P59" s="26">
        <f>SUM(P55:P58)</f>
        <v>0</v>
      </c>
      <c r="Q59" s="26">
        <f>SUM(Q55:Q58)</f>
        <v>-0.04</v>
      </c>
      <c r="R59" s="26">
        <f>P59+Q59</f>
        <v>-0.04</v>
      </c>
      <c r="S59" s="1"/>
      <c r="T59" s="26">
        <f>SUM(T55:T58)</f>
        <v>0</v>
      </c>
      <c r="U59" s="26">
        <f>SUM(U55:U58)</f>
        <v>0</v>
      </c>
      <c r="V59" s="26">
        <f>T59+U59</f>
        <v>0</v>
      </c>
      <c r="X59" s="26">
        <f t="shared" si="28"/>
        <v>505525</v>
      </c>
      <c r="Y59" s="26">
        <f t="shared" si="28"/>
        <v>-505525.00999999995</v>
      </c>
      <c r="Z59" s="26">
        <f>X59+Y59</f>
        <v>-9.9999999511055648E-3</v>
      </c>
    </row>
    <row r="61" spans="2:26" ht="15.75" thickBot="1" x14ac:dyDescent="0.3">
      <c r="B61" s="2" t="s">
        <v>43</v>
      </c>
      <c r="C61" s="2"/>
      <c r="D61" s="17">
        <f>ROUND(D52+D59,2)</f>
        <v>350954.8</v>
      </c>
      <c r="E61" s="17">
        <f>ROUND(E52+E59,2)</f>
        <v>106762.25</v>
      </c>
      <c r="F61" s="17">
        <f>F52+F59</f>
        <v>457717.05</v>
      </c>
      <c r="H61" s="17">
        <f>ROUND(H52+H59,2)</f>
        <v>167832.51</v>
      </c>
      <c r="I61" s="17">
        <f>ROUND(I52+I59,2)</f>
        <v>5370.45</v>
      </c>
      <c r="J61" s="17">
        <f>J52+J59</f>
        <v>173202.96000000002</v>
      </c>
      <c r="L61" s="17">
        <f>ROUND(L52+L59,2)</f>
        <v>21500</v>
      </c>
      <c r="M61" s="17">
        <f>ROUND(M52+M59,2)</f>
        <v>5192.3</v>
      </c>
      <c r="N61" s="17">
        <f>N52+N59</f>
        <v>26692.300000000007</v>
      </c>
      <c r="P61" s="17">
        <f>ROUND(P52+P59,2)</f>
        <v>94831.37</v>
      </c>
      <c r="Q61" s="17">
        <f>ROUND(Q52+Q59,2)</f>
        <v>464318.46</v>
      </c>
      <c r="R61" s="17">
        <f>R52+R59</f>
        <v>559149.82999999996</v>
      </c>
      <c r="T61" s="17">
        <f>ROUND(T52+T59,2)</f>
        <v>0</v>
      </c>
      <c r="U61" s="17">
        <f>ROUND(U52+U59,2)</f>
        <v>0</v>
      </c>
      <c r="V61" s="17">
        <f>V52+V59</f>
        <v>0</v>
      </c>
      <c r="X61" s="17">
        <f>D61+H61+L61+P61+T61</f>
        <v>635118.68000000005</v>
      </c>
      <c r="Y61" s="17">
        <f>E61+I61+M61+Q61+U61</f>
        <v>581643.46</v>
      </c>
      <c r="Z61" s="17">
        <f>X61+Y61</f>
        <v>1216762.1400000001</v>
      </c>
    </row>
    <row r="62" spans="2:26" ht="15.75" thickTop="1" x14ac:dyDescent="0.25"/>
    <row r="65" spans="1:26" x14ac:dyDescent="0.25">
      <c r="A65" s="35" t="s">
        <v>54</v>
      </c>
      <c r="B65" s="35"/>
      <c r="C65" s="19"/>
    </row>
    <row r="67" spans="1:26" x14ac:dyDescent="0.25">
      <c r="B67" s="5" t="s">
        <v>53</v>
      </c>
      <c r="C67" s="5"/>
    </row>
    <row r="68" spans="1:26" x14ac:dyDescent="0.25">
      <c r="B68" s="2" t="s">
        <v>741</v>
      </c>
      <c r="C68" s="2"/>
      <c r="D68" s="9">
        <v>0</v>
      </c>
      <c r="E68" s="9">
        <v>52000</v>
      </c>
      <c r="F68" s="8">
        <f>D68+E68</f>
        <v>52000</v>
      </c>
      <c r="H68" s="9">
        <v>0</v>
      </c>
      <c r="I68" s="9">
        <v>52000</v>
      </c>
      <c r="J68" s="8">
        <f>H68+I68</f>
        <v>52000</v>
      </c>
      <c r="L68" s="9">
        <v>0</v>
      </c>
      <c r="M68" s="9">
        <v>52000</v>
      </c>
      <c r="N68" s="8">
        <f>L68+M68</f>
        <v>52000</v>
      </c>
      <c r="P68" s="9">
        <v>0</v>
      </c>
      <c r="Q68" s="9">
        <f>520000-E68-I68-M68</f>
        <v>364000</v>
      </c>
      <c r="R68" s="8">
        <f>P68+Q68</f>
        <v>364000</v>
      </c>
      <c r="T68" s="1"/>
      <c r="U68" s="1"/>
      <c r="V68" s="1"/>
      <c r="X68" s="8">
        <f t="shared" ref="X68:Z70" si="29">D68+H68+L68+P68+T68</f>
        <v>0</v>
      </c>
      <c r="Y68" s="8">
        <f t="shared" si="29"/>
        <v>520000</v>
      </c>
      <c r="Z68" s="8">
        <f t="shared" si="29"/>
        <v>520000</v>
      </c>
    </row>
    <row r="69" spans="1:26" ht="15.75" thickBot="1" x14ac:dyDescent="0.3">
      <c r="B69" s="2" t="s">
        <v>46</v>
      </c>
      <c r="C69" s="2"/>
      <c r="D69" s="11">
        <v>0</v>
      </c>
      <c r="E69" s="11">
        <f>165000/10</f>
        <v>16500</v>
      </c>
      <c r="F69" s="12">
        <f>D69+E69</f>
        <v>16500</v>
      </c>
      <c r="H69" s="11">
        <v>0</v>
      </c>
      <c r="I69" s="11">
        <f>165000/10</f>
        <v>16500</v>
      </c>
      <c r="J69" s="12">
        <f>H69+I69</f>
        <v>16500</v>
      </c>
      <c r="L69" s="11">
        <v>0</v>
      </c>
      <c r="M69" s="11">
        <f>165000/10</f>
        <v>16500</v>
      </c>
      <c r="N69" s="12">
        <f>L69+M69</f>
        <v>16500</v>
      </c>
      <c r="P69" s="11">
        <v>0</v>
      </c>
      <c r="Q69" s="11">
        <f>165000-E69-I69-M69</f>
        <v>115500</v>
      </c>
      <c r="R69" s="12">
        <f>P69+Q69</f>
        <v>115500</v>
      </c>
      <c r="T69" s="3"/>
      <c r="U69" s="3"/>
      <c r="V69" s="3"/>
      <c r="X69" s="12">
        <f t="shared" si="29"/>
        <v>0</v>
      </c>
      <c r="Y69" s="12">
        <f t="shared" si="29"/>
        <v>165000</v>
      </c>
      <c r="Z69" s="12">
        <f t="shared" si="29"/>
        <v>165000</v>
      </c>
    </row>
    <row r="70" spans="1:26" x14ac:dyDescent="0.25">
      <c r="B70" s="2" t="s">
        <v>131</v>
      </c>
      <c r="C70" s="2"/>
      <c r="D70" s="26">
        <f>SUM(D68:D69)</f>
        <v>0</v>
      </c>
      <c r="E70" s="26">
        <f>SUM(E68:E69)</f>
        <v>68500</v>
      </c>
      <c r="F70" s="26">
        <f>D70+E70</f>
        <v>68500</v>
      </c>
      <c r="H70" s="26">
        <f>SUM(H68:H69)</f>
        <v>0</v>
      </c>
      <c r="I70" s="26">
        <f>SUM(I68:I69)</f>
        <v>68500</v>
      </c>
      <c r="J70" s="26">
        <f>H70+I70</f>
        <v>68500</v>
      </c>
      <c r="L70" s="26">
        <f>SUM(L68:L69)</f>
        <v>0</v>
      </c>
      <c r="M70" s="26">
        <f>SUM(M68:M69)</f>
        <v>68500</v>
      </c>
      <c r="N70" s="26">
        <f>L70+M70</f>
        <v>68500</v>
      </c>
      <c r="P70" s="26">
        <f>SUM(P68:P69)</f>
        <v>0</v>
      </c>
      <c r="Q70" s="26">
        <f>SUM(Q68:Q69)</f>
        <v>479500</v>
      </c>
      <c r="R70" s="26">
        <f>P70+Q70</f>
        <v>479500</v>
      </c>
      <c r="S70" s="1"/>
      <c r="T70" s="26">
        <f>SUM(T68:T69)</f>
        <v>0</v>
      </c>
      <c r="U70" s="26">
        <f>SUM(U68:U69)</f>
        <v>0</v>
      </c>
      <c r="V70" s="26">
        <f>T70+U70</f>
        <v>0</v>
      </c>
      <c r="X70" s="26">
        <f t="shared" si="29"/>
        <v>0</v>
      </c>
      <c r="Y70" s="26">
        <f t="shared" si="29"/>
        <v>685000</v>
      </c>
      <c r="Z70" s="26">
        <f t="shared" si="29"/>
        <v>685000</v>
      </c>
    </row>
    <row r="71" spans="1:26" x14ac:dyDescent="0.25">
      <c r="B71" s="2"/>
      <c r="C71" s="2"/>
      <c r="Q71" s="1"/>
    </row>
    <row r="72" spans="1:26" x14ac:dyDescent="0.25">
      <c r="B72" s="5" t="s">
        <v>75</v>
      </c>
      <c r="C72" s="5"/>
    </row>
    <row r="73" spans="1:26" x14ac:dyDescent="0.25">
      <c r="B73" s="2" t="s">
        <v>87</v>
      </c>
      <c r="C73" s="2"/>
      <c r="H73" s="1"/>
      <c r="I73" s="1"/>
      <c r="J73" s="1"/>
      <c r="L73" s="1"/>
      <c r="M73" s="1"/>
      <c r="N73" s="1"/>
      <c r="P73" s="14">
        <v>0</v>
      </c>
      <c r="Q73" s="15">
        <f>-T73</f>
        <v>-34250</v>
      </c>
      <c r="R73" s="15">
        <f>P73+Q73</f>
        <v>-34250</v>
      </c>
      <c r="T73" s="9">
        <v>34250</v>
      </c>
      <c r="U73" s="9">
        <v>0</v>
      </c>
      <c r="V73" s="8">
        <f>T73+U73</f>
        <v>34250</v>
      </c>
      <c r="X73" s="8">
        <f t="shared" ref="X73:Z79" si="30">D73+H73+L73+P73+T73</f>
        <v>34250</v>
      </c>
      <c r="Y73" s="8">
        <f t="shared" si="30"/>
        <v>-34250</v>
      </c>
      <c r="Z73" s="8">
        <f t="shared" si="30"/>
        <v>0</v>
      </c>
    </row>
    <row r="74" spans="1:26" x14ac:dyDescent="0.25">
      <c r="B74" s="2" t="s">
        <v>82</v>
      </c>
      <c r="C74" s="6" t="s">
        <v>17</v>
      </c>
      <c r="L74" s="9">
        <v>90000</v>
      </c>
      <c r="M74" s="8">
        <f>-L74</f>
        <v>-90000</v>
      </c>
      <c r="N74" s="8">
        <f>L74+M74</f>
        <v>0</v>
      </c>
      <c r="P74" s="9">
        <v>398763</v>
      </c>
      <c r="Q74" s="8">
        <f>-P74</f>
        <v>-398763</v>
      </c>
      <c r="R74" s="8">
        <f>P74+Q74</f>
        <v>0</v>
      </c>
      <c r="X74" s="8">
        <f t="shared" ref="X74" si="31">D74+H74+L74+P74+T74</f>
        <v>488763</v>
      </c>
      <c r="Y74" s="8">
        <f t="shared" ref="Y74" si="32">E74+I74+M74+Q74+U74</f>
        <v>-488763</v>
      </c>
      <c r="Z74" s="8">
        <f t="shared" ref="Z74" si="33">F74+J74+N74+R74+V74</f>
        <v>0</v>
      </c>
    </row>
    <row r="75" spans="1:26" x14ac:dyDescent="0.25">
      <c r="B75" s="2" t="s">
        <v>136</v>
      </c>
      <c r="C75" s="6" t="s">
        <v>159</v>
      </c>
      <c r="D75" s="9">
        <v>412000</v>
      </c>
      <c r="E75" s="8">
        <f>-D75</f>
        <v>-412000</v>
      </c>
      <c r="F75" s="8">
        <f>D75+E75</f>
        <v>0</v>
      </c>
      <c r="X75" s="8">
        <f t="shared" si="30"/>
        <v>412000</v>
      </c>
      <c r="Y75" s="8">
        <f t="shared" si="30"/>
        <v>-412000</v>
      </c>
      <c r="Z75" s="8">
        <f t="shared" si="30"/>
        <v>0</v>
      </c>
    </row>
    <row r="76" spans="1:26" x14ac:dyDescent="0.25">
      <c r="B76" s="2" t="s">
        <v>139</v>
      </c>
      <c r="C76" s="6" t="s">
        <v>160</v>
      </c>
      <c r="H76" s="9">
        <v>50000</v>
      </c>
      <c r="I76" s="9">
        <f>-H76</f>
        <v>-50000</v>
      </c>
      <c r="J76" s="8">
        <f>H76+I76</f>
        <v>0</v>
      </c>
      <c r="L76" s="1"/>
      <c r="M76" s="1"/>
      <c r="N76" s="1"/>
      <c r="X76" s="8">
        <f t="shared" si="30"/>
        <v>50000</v>
      </c>
      <c r="Y76" s="8">
        <f t="shared" si="30"/>
        <v>-50000</v>
      </c>
      <c r="Z76" s="8">
        <f t="shared" si="30"/>
        <v>0</v>
      </c>
    </row>
    <row r="77" spans="1:26" x14ac:dyDescent="0.25">
      <c r="B77" s="2" t="s">
        <v>137</v>
      </c>
      <c r="C77" s="6" t="s">
        <v>161</v>
      </c>
      <c r="H77" s="1"/>
      <c r="I77" s="1"/>
      <c r="J77" s="1"/>
      <c r="L77" s="1"/>
      <c r="M77" s="1"/>
      <c r="N77" s="1"/>
      <c r="P77" s="9">
        <v>25350</v>
      </c>
      <c r="Q77" s="8">
        <f>-P77</f>
        <v>-25350</v>
      </c>
      <c r="R77" s="12">
        <f>P77+Q77</f>
        <v>0</v>
      </c>
      <c r="X77" s="8">
        <f t="shared" si="30"/>
        <v>25350</v>
      </c>
      <c r="Y77" s="8">
        <f t="shared" si="30"/>
        <v>-25350</v>
      </c>
      <c r="Z77" s="8">
        <f t="shared" si="30"/>
        <v>0</v>
      </c>
    </row>
    <row r="78" spans="1:26" ht="15.75" thickBot="1" x14ac:dyDescent="0.3">
      <c r="B78" s="2" t="s">
        <v>138</v>
      </c>
      <c r="C78" s="6" t="s">
        <v>162</v>
      </c>
      <c r="H78" s="9">
        <v>159025</v>
      </c>
      <c r="I78" s="9">
        <f>-H78</f>
        <v>-159025</v>
      </c>
      <c r="J78" s="8">
        <f>H78+I78</f>
        <v>0</v>
      </c>
      <c r="L78" s="1"/>
      <c r="M78" s="1"/>
      <c r="N78" s="1"/>
      <c r="P78" s="9">
        <v>17500</v>
      </c>
      <c r="Q78" s="8">
        <f>-P78</f>
        <v>-17500</v>
      </c>
      <c r="R78" s="12">
        <f>P78+Q78</f>
        <v>0</v>
      </c>
      <c r="X78" s="8">
        <f t="shared" si="30"/>
        <v>176525</v>
      </c>
      <c r="Y78" s="8">
        <f t="shared" si="30"/>
        <v>-176525</v>
      </c>
      <c r="Z78" s="8">
        <f t="shared" si="30"/>
        <v>0</v>
      </c>
    </row>
    <row r="79" spans="1:26" x14ac:dyDescent="0.25">
      <c r="B79" s="2" t="s">
        <v>83</v>
      </c>
      <c r="C79" s="2"/>
      <c r="D79" s="26">
        <f>SUM(D73:D78)</f>
        <v>412000</v>
      </c>
      <c r="E79" s="26">
        <f>SUM(E73:E78)</f>
        <v>-412000</v>
      </c>
      <c r="F79" s="26">
        <f>D79+E79</f>
        <v>0</v>
      </c>
      <c r="H79" s="26">
        <f>SUM(H73:H78)</f>
        <v>209025</v>
      </c>
      <c r="I79" s="26">
        <f>SUM(I73:I78)</f>
        <v>-209025</v>
      </c>
      <c r="J79" s="26">
        <f>H79+I79</f>
        <v>0</v>
      </c>
      <c r="L79" s="26">
        <f>SUM(L73:L78)</f>
        <v>90000</v>
      </c>
      <c r="M79" s="26">
        <f>SUM(M73:M78)</f>
        <v>-90000</v>
      </c>
      <c r="N79" s="26">
        <f>L79+M79</f>
        <v>0</v>
      </c>
      <c r="P79" s="26">
        <f>SUM(P73:P78)</f>
        <v>441613</v>
      </c>
      <c r="Q79" s="26">
        <f>SUM(Q73:Q78)</f>
        <v>-475863</v>
      </c>
      <c r="R79" s="26">
        <f>P79+Q79</f>
        <v>-34250</v>
      </c>
      <c r="S79" s="1"/>
      <c r="T79" s="26">
        <f>SUM(T73:T78)</f>
        <v>34250</v>
      </c>
      <c r="U79" s="26">
        <f>SUM(U73:U78)</f>
        <v>0</v>
      </c>
      <c r="V79" s="26">
        <f>T79+U79</f>
        <v>34250</v>
      </c>
      <c r="X79" s="26">
        <f t="shared" si="30"/>
        <v>1186888</v>
      </c>
      <c r="Y79" s="26">
        <f t="shared" si="30"/>
        <v>-1186888</v>
      </c>
      <c r="Z79" s="26">
        <f t="shared" si="30"/>
        <v>0</v>
      </c>
    </row>
    <row r="80" spans="1:26" x14ac:dyDescent="0.25">
      <c r="B80" s="2"/>
      <c r="C80" s="2"/>
    </row>
    <row r="81" spans="2:26" x14ac:dyDescent="0.25">
      <c r="B81" s="2" t="s">
        <v>76</v>
      </c>
      <c r="C81" s="2"/>
      <c r="D81" s="8">
        <f>D70+D79</f>
        <v>412000</v>
      </c>
      <c r="E81" s="8">
        <f>E70+E79</f>
        <v>-343500</v>
      </c>
      <c r="F81" s="8">
        <f>D81+E81</f>
        <v>68500</v>
      </c>
      <c r="H81" s="8">
        <f>H70+H79</f>
        <v>209025</v>
      </c>
      <c r="I81" s="8">
        <f>I70+I79</f>
        <v>-140525</v>
      </c>
      <c r="J81" s="8">
        <f>H81+I81</f>
        <v>68500</v>
      </c>
      <c r="L81" s="8">
        <f>L70+L79</f>
        <v>90000</v>
      </c>
      <c r="M81" s="8">
        <f>M70+M79</f>
        <v>-21500</v>
      </c>
      <c r="N81" s="8">
        <f>L81+M81</f>
        <v>68500</v>
      </c>
      <c r="P81" s="8">
        <f>P70+P79</f>
        <v>441613</v>
      </c>
      <c r="Q81" s="8">
        <f>Q70+Q79</f>
        <v>3637</v>
      </c>
      <c r="R81" s="8">
        <f>P81+Q81</f>
        <v>445250</v>
      </c>
      <c r="T81" s="8">
        <f>T70+T79</f>
        <v>34250</v>
      </c>
      <c r="U81" s="8">
        <f>U70+U79</f>
        <v>0</v>
      </c>
      <c r="V81" s="8">
        <f>T81+U81</f>
        <v>34250</v>
      </c>
      <c r="X81" s="8">
        <f>D81+H81+L81+P81+T81</f>
        <v>1186888</v>
      </c>
      <c r="Y81" s="8">
        <f>E81+I81+M81+Q81+U81</f>
        <v>-501888</v>
      </c>
      <c r="Z81" s="8">
        <f>F81+J81+N81+R81+V81</f>
        <v>685000</v>
      </c>
    </row>
    <row r="82" spans="2:26" x14ac:dyDescent="0.25">
      <c r="B82" s="2"/>
      <c r="C82" s="2"/>
    </row>
    <row r="84" spans="2:26" x14ac:dyDescent="0.25">
      <c r="D84" t="s">
        <v>72</v>
      </c>
    </row>
    <row r="85" spans="2:26" x14ac:dyDescent="0.25">
      <c r="D85" s="2"/>
    </row>
    <row r="86" spans="2:26" x14ac:dyDescent="0.25">
      <c r="D86" s="2" t="s">
        <v>58</v>
      </c>
      <c r="E86" t="s">
        <v>140</v>
      </c>
    </row>
    <row r="87" spans="2:26" x14ac:dyDescent="0.25">
      <c r="E87" t="s">
        <v>141</v>
      </c>
    </row>
    <row r="88" spans="2:26" x14ac:dyDescent="0.25">
      <c r="E88" t="s">
        <v>142</v>
      </c>
    </row>
    <row r="89" spans="2:26" x14ac:dyDescent="0.25">
      <c r="E89" t="s">
        <v>114</v>
      </c>
    </row>
    <row r="91" spans="2:26" x14ac:dyDescent="0.25">
      <c r="D91" s="2" t="s">
        <v>60</v>
      </c>
      <c r="E91" t="s">
        <v>145</v>
      </c>
    </row>
    <row r="92" spans="2:26" x14ac:dyDescent="0.25">
      <c r="E92" t="s">
        <v>143</v>
      </c>
    </row>
    <row r="93" spans="2:26" x14ac:dyDescent="0.25">
      <c r="E93" t="s">
        <v>144</v>
      </c>
    </row>
    <row r="95" spans="2:26" x14ac:dyDescent="0.25">
      <c r="D95" s="2" t="s">
        <v>109</v>
      </c>
      <c r="E95" t="s">
        <v>132</v>
      </c>
    </row>
    <row r="96" spans="2:26" x14ac:dyDescent="0.25">
      <c r="E96" t="s">
        <v>133</v>
      </c>
    </row>
    <row r="97" spans="4:18" x14ac:dyDescent="0.25">
      <c r="E97" t="s">
        <v>134</v>
      </c>
    </row>
    <row r="98" spans="4:18" x14ac:dyDescent="0.25">
      <c r="E98" t="s">
        <v>114</v>
      </c>
    </row>
    <row r="101" spans="4:18" x14ac:dyDescent="0.25">
      <c r="D101" t="s">
        <v>129</v>
      </c>
    </row>
    <row r="103" spans="4:18" x14ac:dyDescent="0.25">
      <c r="D103" s="36" t="s">
        <v>3</v>
      </c>
      <c r="E103" s="36"/>
      <c r="F103" s="36"/>
      <c r="H103" s="36" t="s">
        <v>4</v>
      </c>
      <c r="I103" s="36"/>
      <c r="J103" s="36"/>
      <c r="L103" s="36" t="s">
        <v>2</v>
      </c>
      <c r="M103" s="36"/>
      <c r="N103" s="36"/>
      <c r="P103" s="36" t="s">
        <v>13</v>
      </c>
      <c r="Q103" s="36"/>
      <c r="R103" s="36"/>
    </row>
    <row r="104" spans="4:18" x14ac:dyDescent="0.25">
      <c r="D104" s="6"/>
      <c r="E104" s="6"/>
      <c r="F104" s="6"/>
      <c r="H104" s="6"/>
      <c r="I104" s="6"/>
      <c r="J104" s="6"/>
    </row>
    <row r="105" spans="4:18" x14ac:dyDescent="0.25">
      <c r="E105" s="6" t="s">
        <v>110</v>
      </c>
      <c r="F105" s="6" t="s">
        <v>111</v>
      </c>
      <c r="I105" s="6" t="s">
        <v>110</v>
      </c>
      <c r="J105" s="6" t="s">
        <v>111</v>
      </c>
      <c r="M105" s="6" t="s">
        <v>110</v>
      </c>
      <c r="N105" s="6" t="s">
        <v>111</v>
      </c>
      <c r="Q105" s="6" t="s">
        <v>110</v>
      </c>
      <c r="R105" s="6" t="s">
        <v>111</v>
      </c>
    </row>
    <row r="106" spans="4:18" x14ac:dyDescent="0.25">
      <c r="E106" s="6"/>
      <c r="F106" s="6"/>
    </row>
    <row r="107" spans="4:18" x14ac:dyDescent="0.25">
      <c r="E107" s="2" t="s">
        <v>480</v>
      </c>
      <c r="F107" s="11">
        <v>7454.8</v>
      </c>
      <c r="I107" s="2" t="s">
        <v>112</v>
      </c>
      <c r="J107" s="9">
        <v>88275</v>
      </c>
      <c r="M107" s="2" t="s">
        <v>81</v>
      </c>
      <c r="N107" s="11">
        <v>23000</v>
      </c>
      <c r="Q107" s="2" t="s">
        <v>81</v>
      </c>
      <c r="R107" s="9">
        <v>55013</v>
      </c>
    </row>
    <row r="108" spans="4:18" x14ac:dyDescent="0.25">
      <c r="E108" s="2" t="s">
        <v>113</v>
      </c>
      <c r="F108" s="10">
        <f>F107</f>
        <v>7454.8</v>
      </c>
      <c r="I108" s="2" t="s">
        <v>9</v>
      </c>
      <c r="J108" s="11">
        <v>19000</v>
      </c>
      <c r="M108" s="2" t="s">
        <v>113</v>
      </c>
      <c r="N108" s="10">
        <f>N107</f>
        <v>23000</v>
      </c>
      <c r="Q108" s="2" t="s">
        <v>79</v>
      </c>
      <c r="R108" s="9">
        <v>26000</v>
      </c>
    </row>
    <row r="109" spans="4:18" x14ac:dyDescent="0.25">
      <c r="I109" s="2" t="s">
        <v>113</v>
      </c>
      <c r="J109" s="10">
        <f>SUM(J107:J108)</f>
        <v>107275</v>
      </c>
      <c r="Q109" s="2" t="s">
        <v>581</v>
      </c>
      <c r="R109" s="9">
        <v>75000</v>
      </c>
    </row>
    <row r="110" spans="4:18" x14ac:dyDescent="0.25">
      <c r="Q110" s="2" t="s">
        <v>567</v>
      </c>
      <c r="R110" s="9">
        <v>19248.34</v>
      </c>
    </row>
    <row r="111" spans="4:18" x14ac:dyDescent="0.25">
      <c r="Q111" s="2" t="s">
        <v>539</v>
      </c>
      <c r="R111" s="9">
        <v>16528</v>
      </c>
    </row>
    <row r="112" spans="4:18" x14ac:dyDescent="0.25">
      <c r="Q112" s="2" t="s">
        <v>1</v>
      </c>
      <c r="R112" s="9">
        <v>92299</v>
      </c>
    </row>
    <row r="113" spans="17:18" x14ac:dyDescent="0.25">
      <c r="Q113" s="2" t="s">
        <v>112</v>
      </c>
      <c r="R113" s="11">
        <v>37000</v>
      </c>
    </row>
    <row r="114" spans="17:18" x14ac:dyDescent="0.25">
      <c r="Q114" s="2" t="s">
        <v>113</v>
      </c>
      <c r="R114" s="8">
        <f>SUM(R107:R113)</f>
        <v>321088.33999999997</v>
      </c>
    </row>
  </sheetData>
  <mergeCells count="11">
    <mergeCell ref="T4:V4"/>
    <mergeCell ref="X4:Z4"/>
    <mergeCell ref="D103:F103"/>
    <mergeCell ref="H103:J103"/>
    <mergeCell ref="L103:N103"/>
    <mergeCell ref="P103:R103"/>
    <mergeCell ref="A65:B65"/>
    <mergeCell ref="D4:F4"/>
    <mergeCell ref="H4:J4"/>
    <mergeCell ref="L4:N4"/>
    <mergeCell ref="P4:R4"/>
  </mergeCells>
  <printOptions horizontalCentered="1"/>
  <pageMargins left="0.25" right="0.25" top="0.75" bottom="0.75" header="0.3" footer="0.3"/>
  <pageSetup paperSize="161" scale="44" fitToHeight="0" orientation="landscape" horizontalDpi="1200" verticalDpi="1200" r:id="rId1"/>
  <headerFooter>
    <oddFooter>&amp;L&amp;F&amp;CPage &amp;P of &amp;N&amp;R8-Nov-2010</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pageSetUpPr fitToPage="1"/>
  </sheetPr>
  <dimension ref="A2:Z117"/>
  <sheetViews>
    <sheetView workbookViewId="0">
      <pane xSplit="2" ySplit="6" topLeftCell="C60" activePane="bottomRight" state="frozen"/>
      <selection activeCell="C9" sqref="C9"/>
      <selection pane="topRight" activeCell="C9" sqref="C9"/>
      <selection pane="bottomLeft" activeCell="C9" sqref="C9"/>
      <selection pane="bottomRight" activeCell="A85" sqref="A85"/>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14</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34</v>
      </c>
      <c r="C7" s="2"/>
      <c r="D7" s="9">
        <f>'FY09'!D55</f>
        <v>14788.85</v>
      </c>
      <c r="E7" s="9">
        <f>'FY09'!E55</f>
        <v>296006.7</v>
      </c>
      <c r="F7" s="8">
        <f>D7+E7</f>
        <v>310795.55</v>
      </c>
      <c r="H7" s="9">
        <f>'FY09'!H55</f>
        <v>102906.03</v>
      </c>
      <c r="I7" s="9">
        <f>'FY09'!I55</f>
        <v>95456.7</v>
      </c>
      <c r="J7" s="8">
        <f>H7+I7</f>
        <v>198362.72999999998</v>
      </c>
      <c r="L7" s="9">
        <f>'FY09'!L55</f>
        <v>9253.27</v>
      </c>
      <c r="M7" s="9">
        <f>'FY09'!M55</f>
        <v>15365.53</v>
      </c>
      <c r="N7" s="8">
        <f>L7+M7</f>
        <v>24618.800000000003</v>
      </c>
      <c r="P7" s="9">
        <f>'FY09'!P55</f>
        <v>354513.34</v>
      </c>
      <c r="Q7" s="9">
        <f>'FY09'!Q55</f>
        <v>355259.46</v>
      </c>
      <c r="R7" s="8">
        <f>P7+Q7</f>
        <v>709772.80000000005</v>
      </c>
      <c r="S7" s="1"/>
      <c r="T7" s="9">
        <v>0</v>
      </c>
      <c r="U7" s="9">
        <v>0</v>
      </c>
      <c r="V7" s="8">
        <f>T7+U7</f>
        <v>0</v>
      </c>
      <c r="X7" s="8">
        <f>D7+H7+L7+P7+T7</f>
        <v>481461.49000000005</v>
      </c>
      <c r="Y7" s="8">
        <f>E7+I7+M7+Q7+U7</f>
        <v>762088.39000000013</v>
      </c>
      <c r="Z7" s="8">
        <f>F7+J7+N7+R7+V7</f>
        <v>1243549.8799999999</v>
      </c>
    </row>
    <row r="9" spans="2:26" x14ac:dyDescent="0.25">
      <c r="B9" s="5" t="s">
        <v>11</v>
      </c>
      <c r="C9" s="5"/>
      <c r="Y9" s="1"/>
      <c r="Z9" s="1"/>
    </row>
    <row r="10" spans="2:26" x14ac:dyDescent="0.25">
      <c r="B10" s="2" t="s">
        <v>742</v>
      </c>
      <c r="C10" s="2"/>
      <c r="D10" s="9">
        <v>0</v>
      </c>
      <c r="E10" s="9">
        <v>52420.36</v>
      </c>
      <c r="F10" s="8">
        <f>D10+E10</f>
        <v>52420.36</v>
      </c>
      <c r="H10" s="9">
        <v>0</v>
      </c>
      <c r="I10" s="9">
        <v>52420.36</v>
      </c>
      <c r="J10" s="8">
        <f>H10+I10</f>
        <v>52420.36</v>
      </c>
      <c r="L10" s="9">
        <v>0</v>
      </c>
      <c r="M10" s="9">
        <v>52420.36</v>
      </c>
      <c r="N10" s="8">
        <f>L10+M10</f>
        <v>52420.36</v>
      </c>
      <c r="P10" s="9">
        <v>0</v>
      </c>
      <c r="Q10" s="9">
        <f>366942.52</f>
        <v>366942.52</v>
      </c>
      <c r="R10" s="8">
        <f>P10+Q10</f>
        <v>366942.52</v>
      </c>
      <c r="S10" s="1"/>
      <c r="T10" s="1"/>
      <c r="U10" s="1"/>
      <c r="V10" s="1"/>
      <c r="X10" s="8">
        <f t="shared" ref="X10:Z15" si="0">D10+H10+L10+P10+T10</f>
        <v>0</v>
      </c>
      <c r="Y10" s="8">
        <f t="shared" si="0"/>
        <v>524203.60000000003</v>
      </c>
      <c r="Z10" s="8">
        <f t="shared" si="0"/>
        <v>524203.60000000003</v>
      </c>
    </row>
    <row r="11" spans="2:26" x14ac:dyDescent="0.25">
      <c r="B11" s="2" t="s">
        <v>5</v>
      </c>
      <c r="C11" s="2"/>
      <c r="D11" s="9">
        <v>0</v>
      </c>
      <c r="E11" s="9">
        <v>422.81</v>
      </c>
      <c r="F11" s="8">
        <f>D11+E11</f>
        <v>422.81</v>
      </c>
      <c r="H11" s="9">
        <v>0</v>
      </c>
      <c r="I11" s="9">
        <v>422.81</v>
      </c>
      <c r="J11" s="8">
        <f>H11+I11</f>
        <v>422.81</v>
      </c>
      <c r="L11" s="9">
        <v>0</v>
      </c>
      <c r="M11" s="9">
        <v>422.81</v>
      </c>
      <c r="N11" s="8">
        <f>L11+M11</f>
        <v>422.81</v>
      </c>
      <c r="P11" s="9">
        <v>0</v>
      </c>
      <c r="Q11" s="9">
        <v>2959.64</v>
      </c>
      <c r="R11" s="8">
        <f>P11+Q11</f>
        <v>2959.64</v>
      </c>
      <c r="S11" s="1"/>
      <c r="T11" s="1"/>
      <c r="U11" s="1"/>
      <c r="V11" s="1"/>
      <c r="X11" s="8">
        <f t="shared" si="0"/>
        <v>0</v>
      </c>
      <c r="Y11" s="8">
        <f t="shared" si="0"/>
        <v>4228.07</v>
      </c>
      <c r="Z11" s="8">
        <f t="shared" si="0"/>
        <v>4228.07</v>
      </c>
    </row>
    <row r="12" spans="2:26" x14ac:dyDescent="0.25">
      <c r="B12" s="2" t="s">
        <v>6</v>
      </c>
      <c r="C12" s="2"/>
      <c r="D12" s="9">
        <v>0</v>
      </c>
      <c r="E12" s="9">
        <v>25233.5</v>
      </c>
      <c r="F12" s="8">
        <f>D12+E12</f>
        <v>25233.5</v>
      </c>
      <c r="H12" s="9">
        <v>0</v>
      </c>
      <c r="I12" s="9">
        <v>25233.5</v>
      </c>
      <c r="J12" s="8">
        <f>H12+I12</f>
        <v>25233.5</v>
      </c>
      <c r="L12" s="9">
        <v>0</v>
      </c>
      <c r="M12" s="9">
        <v>25233.5</v>
      </c>
      <c r="N12" s="8">
        <f>L12+M12</f>
        <v>25233.5</v>
      </c>
      <c r="P12" s="9">
        <v>0</v>
      </c>
      <c r="Q12" s="9">
        <v>176634.5</v>
      </c>
      <c r="R12" s="8">
        <f>P12+Q12</f>
        <v>176634.5</v>
      </c>
      <c r="S12" s="1"/>
      <c r="T12" s="1"/>
      <c r="U12" s="1"/>
      <c r="V12" s="1"/>
      <c r="X12" s="8">
        <f t="shared" si="0"/>
        <v>0</v>
      </c>
      <c r="Y12" s="8">
        <f t="shared" si="0"/>
        <v>252335</v>
      </c>
      <c r="Z12" s="8">
        <f t="shared" si="0"/>
        <v>252335</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15</v>
      </c>
      <c r="C14" s="2"/>
      <c r="D14" s="14">
        <v>0</v>
      </c>
      <c r="E14" s="14">
        <v>750.55</v>
      </c>
      <c r="F14" s="15">
        <f>D14+E14</f>
        <v>750.55</v>
      </c>
      <c r="H14" s="14">
        <v>0</v>
      </c>
      <c r="I14" s="14">
        <v>750.55</v>
      </c>
      <c r="J14" s="15">
        <f>H14+I14</f>
        <v>750.55</v>
      </c>
      <c r="L14" s="14">
        <v>0</v>
      </c>
      <c r="M14" s="14">
        <v>750.55</v>
      </c>
      <c r="N14" s="15">
        <f>L14+M14</f>
        <v>750.55</v>
      </c>
      <c r="P14" s="14">
        <v>0</v>
      </c>
      <c r="Q14" s="14">
        <v>5253.88</v>
      </c>
      <c r="R14" s="15">
        <f>P14+Q14</f>
        <v>5253.88</v>
      </c>
      <c r="S14" s="1"/>
      <c r="T14" s="3"/>
      <c r="U14" s="3"/>
      <c r="V14" s="3"/>
      <c r="X14" s="15">
        <f t="shared" si="0"/>
        <v>0</v>
      </c>
      <c r="Y14" s="15">
        <f t="shared" si="0"/>
        <v>7505.53</v>
      </c>
      <c r="Z14" s="15">
        <f t="shared" si="0"/>
        <v>7505.53</v>
      </c>
    </row>
    <row r="15" spans="2:26" x14ac:dyDescent="0.25">
      <c r="B15" s="2" t="s">
        <v>28</v>
      </c>
      <c r="C15" s="2"/>
      <c r="D15" s="26">
        <f>SUM(D10:D14)</f>
        <v>0</v>
      </c>
      <c r="E15" s="26">
        <f>SUM(E10:E14)</f>
        <v>78827.22</v>
      </c>
      <c r="F15" s="26">
        <f>D15+E15</f>
        <v>78827.22</v>
      </c>
      <c r="H15" s="26">
        <f>SUM(H10:H14)</f>
        <v>0</v>
      </c>
      <c r="I15" s="26">
        <f>SUM(I10:I14)</f>
        <v>78827.22</v>
      </c>
      <c r="J15" s="26">
        <f>H15+I15</f>
        <v>78827.22</v>
      </c>
      <c r="L15" s="26">
        <f>SUM(L10:L14)</f>
        <v>0</v>
      </c>
      <c r="M15" s="26">
        <f>SUM(M10:M14)</f>
        <v>78827.22</v>
      </c>
      <c r="N15" s="26">
        <f>L15+M15</f>
        <v>78827.22</v>
      </c>
      <c r="P15" s="26">
        <f>SUM(P10:P14)</f>
        <v>0</v>
      </c>
      <c r="Q15" s="26">
        <f>SUM(Q10:Q14)</f>
        <v>551790.54</v>
      </c>
      <c r="R15" s="26">
        <f>P15+Q15</f>
        <v>551790.54</v>
      </c>
      <c r="S15" s="1"/>
      <c r="T15" s="26">
        <f>SUM(T10:T14)</f>
        <v>0</v>
      </c>
      <c r="U15" s="26">
        <f>SUM(U10:U14)</f>
        <v>0</v>
      </c>
      <c r="V15" s="26">
        <f>T15+U15</f>
        <v>0</v>
      </c>
      <c r="X15" s="26">
        <f t="shared" si="0"/>
        <v>0</v>
      </c>
      <c r="Y15" s="26">
        <f t="shared" si="0"/>
        <v>788272.20000000007</v>
      </c>
      <c r="Z15" s="26">
        <f t="shared" si="0"/>
        <v>788272.20000000007</v>
      </c>
    </row>
    <row r="16" spans="2:26" x14ac:dyDescent="0.25">
      <c r="D16" s="1"/>
      <c r="E16" s="1"/>
      <c r="F16" s="1"/>
      <c r="H16" s="1"/>
      <c r="I16" s="1"/>
      <c r="J16" s="1"/>
      <c r="L16" s="1"/>
      <c r="M16" s="1"/>
      <c r="N16" s="1"/>
      <c r="P16" s="1"/>
      <c r="Q16" s="1"/>
      <c r="R16" s="1"/>
      <c r="S16" s="1"/>
      <c r="T16" s="1"/>
      <c r="U16" s="1"/>
      <c r="V16" s="1"/>
    </row>
    <row r="17" spans="1:26" x14ac:dyDescent="0.25">
      <c r="B17" s="5" t="s">
        <v>35</v>
      </c>
      <c r="C17" s="5"/>
      <c r="D17" s="1"/>
      <c r="E17" s="1"/>
      <c r="F17" s="1"/>
      <c r="H17" s="1"/>
      <c r="I17" s="1"/>
      <c r="J17" s="1"/>
      <c r="L17" s="1"/>
      <c r="M17" s="1"/>
      <c r="N17" s="1"/>
      <c r="P17" s="1"/>
      <c r="Q17" s="1"/>
      <c r="R17" s="1"/>
      <c r="S17" s="1"/>
      <c r="T17" s="1"/>
      <c r="U17" s="1"/>
      <c r="V17" s="1"/>
    </row>
    <row r="18" spans="1:26" x14ac:dyDescent="0.25">
      <c r="B18" s="2" t="s">
        <v>88</v>
      </c>
      <c r="C18" s="2"/>
      <c r="D18" s="1"/>
      <c r="E18" s="1"/>
      <c r="F18" s="1"/>
      <c r="H18" s="1"/>
      <c r="I18" s="1"/>
      <c r="J18" s="1"/>
      <c r="L18" s="1"/>
      <c r="M18" s="1"/>
      <c r="N18" s="1"/>
      <c r="P18" s="9">
        <v>0</v>
      </c>
      <c r="Q18" s="8">
        <f>-T18</f>
        <v>-35000</v>
      </c>
      <c r="R18" s="8">
        <f>P18+Q18</f>
        <v>-35000</v>
      </c>
      <c r="S18" s="1"/>
      <c r="T18" s="9">
        <v>35000</v>
      </c>
      <c r="U18" s="9">
        <v>0</v>
      </c>
      <c r="V18" s="8">
        <f>T18+U18</f>
        <v>35000</v>
      </c>
      <c r="X18" s="8">
        <f t="shared" ref="X18:X27" si="8">D18+H18+L18+P18+T18</f>
        <v>35000</v>
      </c>
      <c r="Y18" s="8">
        <f t="shared" ref="Y18:Y27" si="9">E18+I18+M18+Q18+U18</f>
        <v>-35000</v>
      </c>
      <c r="Z18" s="8">
        <f t="shared" ref="Z18:Z27" si="10">F18+J18+N18+R18+V18</f>
        <v>0</v>
      </c>
    </row>
    <row r="19" spans="1:26" x14ac:dyDescent="0.25">
      <c r="B19" s="2" t="s">
        <v>80</v>
      </c>
      <c r="C19" s="6" t="s">
        <v>17</v>
      </c>
      <c r="L19" s="9">
        <v>70000</v>
      </c>
      <c r="M19" s="8">
        <f>-L19</f>
        <v>-70000</v>
      </c>
      <c r="N19" s="8">
        <f>L19+M19</f>
        <v>0</v>
      </c>
      <c r="P19" s="14">
        <f>422213-287365</f>
        <v>134848</v>
      </c>
      <c r="Q19" s="15">
        <f>-P19</f>
        <v>-134848</v>
      </c>
      <c r="R19" s="15">
        <f>P19+Q19</f>
        <v>0</v>
      </c>
      <c r="S19" s="1"/>
      <c r="X19" s="15">
        <f t="shared" ref="X19" si="11">D19+H19+L19+P19+T19</f>
        <v>204848</v>
      </c>
      <c r="Y19" s="15">
        <f t="shared" ref="Y19" si="12">E19+I19+M19+Q19+U19</f>
        <v>-204848</v>
      </c>
      <c r="Z19" s="15">
        <f t="shared" ref="Z19" si="13">F19+J19+N19+R19+V19</f>
        <v>0</v>
      </c>
    </row>
    <row r="20" spans="1:26" x14ac:dyDescent="0.25">
      <c r="B20" s="2" t="s">
        <v>1</v>
      </c>
      <c r="C20" s="6" t="s">
        <v>20</v>
      </c>
      <c r="L20" s="1"/>
      <c r="M20" s="1"/>
      <c r="N20" s="1"/>
      <c r="P20" s="9">
        <v>148152</v>
      </c>
      <c r="Q20" s="8">
        <f>-P20</f>
        <v>-148152</v>
      </c>
      <c r="R20" s="8">
        <f>P20+Q20</f>
        <v>0</v>
      </c>
      <c r="S20" s="1"/>
      <c r="X20" s="8">
        <f t="shared" si="8"/>
        <v>148152</v>
      </c>
      <c r="Y20" s="8">
        <f t="shared" si="9"/>
        <v>-148152</v>
      </c>
      <c r="Z20" s="8">
        <f t="shared" si="10"/>
        <v>0</v>
      </c>
    </row>
    <row r="21" spans="1:26" x14ac:dyDescent="0.25">
      <c r="B21" s="2" t="s">
        <v>597</v>
      </c>
      <c r="C21" s="6" t="s">
        <v>94</v>
      </c>
      <c r="D21" s="1"/>
      <c r="E21" s="1"/>
      <c r="F21" s="1"/>
      <c r="H21" s="1"/>
      <c r="I21" s="1"/>
      <c r="J21" s="1"/>
      <c r="L21" s="1"/>
      <c r="M21" s="1"/>
      <c r="N21" s="1"/>
      <c r="P21" s="9">
        <v>100000</v>
      </c>
      <c r="Q21" s="8">
        <f>-P21</f>
        <v>-100000</v>
      </c>
      <c r="R21" s="8">
        <f>P21+Q21</f>
        <v>0</v>
      </c>
      <c r="S21" s="1"/>
      <c r="T21" s="1"/>
      <c r="U21" s="1"/>
      <c r="V21" s="1"/>
      <c r="X21" s="8">
        <f t="shared" si="8"/>
        <v>100000</v>
      </c>
      <c r="Y21" s="8">
        <f t="shared" si="9"/>
        <v>-100000</v>
      </c>
      <c r="Z21" s="8">
        <f t="shared" si="10"/>
        <v>0</v>
      </c>
    </row>
    <row r="22" spans="1:26" x14ac:dyDescent="0.25">
      <c r="B22" s="2" t="s">
        <v>9</v>
      </c>
      <c r="C22" s="6" t="s">
        <v>21</v>
      </c>
      <c r="D22" s="1"/>
      <c r="E22" s="1"/>
      <c r="F22" s="1"/>
      <c r="H22" s="9">
        <v>40000</v>
      </c>
      <c r="I22" s="8">
        <f>-H22</f>
        <v>-40000</v>
      </c>
      <c r="J22" s="8">
        <f>H22+I22</f>
        <v>0</v>
      </c>
      <c r="L22" s="1"/>
      <c r="M22" s="1"/>
      <c r="N22" s="1"/>
      <c r="P22" s="1"/>
      <c r="Q22" s="1"/>
      <c r="R22" s="1"/>
      <c r="S22" s="1"/>
      <c r="T22" s="1"/>
      <c r="U22" s="1"/>
      <c r="V22" s="1"/>
      <c r="X22" s="8">
        <f t="shared" si="8"/>
        <v>40000</v>
      </c>
      <c r="Y22" s="8">
        <f t="shared" si="9"/>
        <v>-40000</v>
      </c>
      <c r="Z22" s="8">
        <f t="shared" si="10"/>
        <v>0</v>
      </c>
    </row>
    <row r="23" spans="1:26" x14ac:dyDescent="0.25">
      <c r="B23" s="2" t="s">
        <v>112</v>
      </c>
      <c r="C23" s="6" t="s">
        <v>22</v>
      </c>
      <c r="D23" s="1"/>
      <c r="E23" s="1"/>
      <c r="F23" s="1"/>
      <c r="H23" s="9">
        <f>100000-91350</f>
        <v>8650</v>
      </c>
      <c r="I23" s="8">
        <f>-H23</f>
        <v>-8650</v>
      </c>
      <c r="J23" s="8">
        <f>H23+I23</f>
        <v>0</v>
      </c>
      <c r="L23" s="1"/>
      <c r="M23" s="1"/>
      <c r="N23" s="1"/>
      <c r="P23" s="9">
        <v>37000</v>
      </c>
      <c r="Q23" s="8">
        <f>-P23</f>
        <v>-37000</v>
      </c>
      <c r="R23" s="8">
        <f>P23+Q23</f>
        <v>0</v>
      </c>
      <c r="S23" s="1"/>
      <c r="T23" s="1"/>
      <c r="U23" s="1"/>
      <c r="V23" s="1"/>
      <c r="X23" s="8">
        <f t="shared" si="8"/>
        <v>45650</v>
      </c>
      <c r="Y23" s="8">
        <f t="shared" si="9"/>
        <v>-45650</v>
      </c>
      <c r="Z23" s="8">
        <f t="shared" si="10"/>
        <v>0</v>
      </c>
    </row>
    <row r="24" spans="1:26" x14ac:dyDescent="0.25">
      <c r="A24" s="2"/>
      <c r="B24" s="2" t="s">
        <v>78</v>
      </c>
      <c r="C24" s="6" t="s">
        <v>23</v>
      </c>
      <c r="D24" s="1"/>
      <c r="E24" s="1"/>
      <c r="F24" s="1"/>
      <c r="H24" s="9">
        <v>18500</v>
      </c>
      <c r="I24" s="8">
        <f>-H24</f>
        <v>-18500</v>
      </c>
      <c r="J24" s="8">
        <f>H24+I24</f>
        <v>0</v>
      </c>
      <c r="L24" s="1"/>
      <c r="M24" s="1"/>
      <c r="N24" s="1"/>
      <c r="P24" s="1"/>
      <c r="Q24" s="1"/>
      <c r="R24" s="1"/>
      <c r="S24" s="1"/>
      <c r="T24" s="1"/>
      <c r="U24" s="1"/>
      <c r="V24" s="1"/>
      <c r="X24" s="8">
        <f t="shared" si="8"/>
        <v>18500</v>
      </c>
      <c r="Y24" s="8">
        <f t="shared" si="9"/>
        <v>-18500</v>
      </c>
      <c r="Z24" s="8">
        <f t="shared" si="10"/>
        <v>0</v>
      </c>
    </row>
    <row r="25" spans="1:26" x14ac:dyDescent="0.25">
      <c r="A25" s="2"/>
      <c r="B25" s="2" t="s">
        <v>12</v>
      </c>
      <c r="C25" s="6" t="s">
        <v>95</v>
      </c>
      <c r="D25" s="1"/>
      <c r="E25" s="1"/>
      <c r="F25" s="1"/>
      <c r="H25" s="9">
        <v>2850</v>
      </c>
      <c r="I25" s="8">
        <f>-H25</f>
        <v>-2850</v>
      </c>
      <c r="J25" s="8">
        <f>H25+I25</f>
        <v>0</v>
      </c>
      <c r="L25" s="1"/>
      <c r="M25" s="1"/>
      <c r="N25" s="1"/>
      <c r="P25" s="1"/>
      <c r="Q25" s="1"/>
      <c r="R25" s="1"/>
      <c r="S25" s="1"/>
      <c r="T25" s="1"/>
      <c r="U25" s="1"/>
      <c r="V25" s="1"/>
      <c r="X25" s="8">
        <f t="shared" si="8"/>
        <v>2850</v>
      </c>
      <c r="Y25" s="8">
        <f t="shared" si="9"/>
        <v>-2850</v>
      </c>
      <c r="Z25" s="8">
        <f t="shared" si="10"/>
        <v>0</v>
      </c>
    </row>
    <row r="26" spans="1:26" ht="15.75" thickBot="1" x14ac:dyDescent="0.3">
      <c r="B26" s="2" t="s">
        <v>84</v>
      </c>
      <c r="C26" s="6" t="s">
        <v>96</v>
      </c>
      <c r="D26" s="1"/>
      <c r="E26" s="1"/>
      <c r="F26" s="1"/>
      <c r="H26" s="1"/>
      <c r="I26" s="1"/>
      <c r="J26" s="1"/>
      <c r="L26" s="9">
        <f>8650-8650</f>
        <v>0</v>
      </c>
      <c r="M26" s="8">
        <f>-L26</f>
        <v>0</v>
      </c>
      <c r="N26" s="8">
        <f>L26+M26</f>
        <v>0</v>
      </c>
      <c r="P26" s="1"/>
      <c r="Q26" s="1"/>
      <c r="R26" s="1"/>
      <c r="S26" s="1"/>
      <c r="T26" s="1"/>
      <c r="U26" s="1"/>
      <c r="V26" s="1"/>
      <c r="X26" s="8">
        <f t="shared" si="8"/>
        <v>0</v>
      </c>
      <c r="Y26" s="8">
        <f t="shared" si="9"/>
        <v>0</v>
      </c>
      <c r="Z26" s="8">
        <f t="shared" si="10"/>
        <v>0</v>
      </c>
    </row>
    <row r="27" spans="1:26" x14ac:dyDescent="0.25">
      <c r="B27" s="2" t="s">
        <v>36</v>
      </c>
      <c r="C27" s="2"/>
      <c r="D27" s="26">
        <f>SUM(D18:D26)</f>
        <v>0</v>
      </c>
      <c r="E27" s="26">
        <f>SUM(E18:E26)</f>
        <v>0</v>
      </c>
      <c r="F27" s="26">
        <f>D27+E27</f>
        <v>0</v>
      </c>
      <c r="H27" s="26">
        <f>SUM(H18:H26)</f>
        <v>70000</v>
      </c>
      <c r="I27" s="26">
        <f>SUM(I18:I26)</f>
        <v>-70000</v>
      </c>
      <c r="J27" s="26">
        <f>H27+I27</f>
        <v>0</v>
      </c>
      <c r="L27" s="26">
        <f>SUM(L18:L26)</f>
        <v>70000</v>
      </c>
      <c r="M27" s="26">
        <f>SUM(M18:M26)</f>
        <v>-70000</v>
      </c>
      <c r="N27" s="26">
        <f>L27+M27</f>
        <v>0</v>
      </c>
      <c r="P27" s="26">
        <f>SUM(P18:P26)</f>
        <v>420000</v>
      </c>
      <c r="Q27" s="26">
        <f>SUM(Q18:Q26)</f>
        <v>-455000</v>
      </c>
      <c r="R27" s="26">
        <f>P27+Q27</f>
        <v>-35000</v>
      </c>
      <c r="S27" s="1"/>
      <c r="T27" s="26">
        <f>SUM(T18:T26)</f>
        <v>35000</v>
      </c>
      <c r="U27" s="26">
        <f>SUM(U18:U26)</f>
        <v>0</v>
      </c>
      <c r="V27" s="26">
        <f>T27+U27</f>
        <v>35000</v>
      </c>
      <c r="X27" s="26">
        <f t="shared" si="8"/>
        <v>595000</v>
      </c>
      <c r="Y27" s="26">
        <f t="shared" si="9"/>
        <v>-595000</v>
      </c>
      <c r="Z27" s="26">
        <f t="shared" si="10"/>
        <v>0</v>
      </c>
    </row>
    <row r="28" spans="1:26" x14ac:dyDescent="0.25">
      <c r="D28" s="1"/>
      <c r="E28" s="1"/>
      <c r="F28" s="1"/>
      <c r="H28" s="1"/>
      <c r="I28" s="1"/>
      <c r="J28" s="1"/>
      <c r="L28" s="1"/>
      <c r="M28" s="1"/>
      <c r="N28" s="1"/>
      <c r="P28" s="1"/>
      <c r="Q28" s="1"/>
      <c r="R28" s="1"/>
      <c r="S28" s="1"/>
      <c r="T28" s="1"/>
      <c r="U28" s="1"/>
      <c r="V28" s="1"/>
    </row>
    <row r="29" spans="1:26" x14ac:dyDescent="0.25">
      <c r="B29" s="5" t="s">
        <v>8</v>
      </c>
      <c r="C29" s="5"/>
      <c r="D29" s="1"/>
      <c r="E29" s="1"/>
      <c r="F29" s="1"/>
      <c r="H29" s="1"/>
      <c r="I29" s="1"/>
      <c r="J29" s="1"/>
      <c r="L29" s="1"/>
      <c r="M29" s="1"/>
      <c r="N29" s="1"/>
      <c r="P29" s="1"/>
      <c r="Q29" s="1"/>
      <c r="R29" s="1"/>
      <c r="S29" s="1"/>
      <c r="T29" s="1"/>
      <c r="U29" s="1"/>
      <c r="V29" s="1"/>
    </row>
    <row r="30" spans="1:26" x14ac:dyDescent="0.25">
      <c r="B30" s="2" t="s">
        <v>7</v>
      </c>
      <c r="C30" s="2"/>
      <c r="D30" s="1"/>
      <c r="E30" s="1"/>
      <c r="F30" s="1"/>
      <c r="H30" s="1"/>
      <c r="I30" s="1"/>
      <c r="J30" s="1"/>
      <c r="L30" s="1"/>
      <c r="M30" s="1"/>
      <c r="N30" s="1"/>
      <c r="P30" s="1"/>
      <c r="Q30" s="1"/>
      <c r="R30" s="1"/>
      <c r="S30" s="1"/>
      <c r="T30" s="9">
        <v>-15138.33</v>
      </c>
      <c r="U30" s="9">
        <v>0</v>
      </c>
      <c r="V30" s="8">
        <f>T30+U30</f>
        <v>-15138.33</v>
      </c>
      <c r="X30" s="8">
        <f t="shared" ref="X30:X46" si="14">D30+H30+L30+P30+T30</f>
        <v>-15138.33</v>
      </c>
      <c r="Y30" s="8">
        <f t="shared" ref="Y30:Y46" si="15">E30+I30+M30+Q30+U30</f>
        <v>0</v>
      </c>
      <c r="Z30" s="8">
        <f t="shared" ref="Z30:Z46" si="16">F30+J30+N30+R30+V30</f>
        <v>-15138.33</v>
      </c>
    </row>
    <row r="31" spans="1:26" x14ac:dyDescent="0.25">
      <c r="B31" s="2" t="s">
        <v>77</v>
      </c>
      <c r="C31" s="2"/>
      <c r="D31" s="1"/>
      <c r="E31" s="1"/>
      <c r="F31" s="1"/>
      <c r="H31" s="1"/>
      <c r="I31" s="1"/>
      <c r="J31" s="1"/>
      <c r="L31" s="1"/>
      <c r="M31" s="1"/>
      <c r="N31" s="1"/>
      <c r="P31" s="1"/>
      <c r="Q31" s="1"/>
      <c r="R31" s="1"/>
      <c r="S31" s="1"/>
      <c r="T31" s="9">
        <v>-4850.45</v>
      </c>
      <c r="U31" s="9">
        <v>0</v>
      </c>
      <c r="V31" s="8">
        <f>T31+U31</f>
        <v>-4850.45</v>
      </c>
      <c r="X31" s="8">
        <f t="shared" si="14"/>
        <v>-4850.45</v>
      </c>
      <c r="Y31" s="8">
        <f t="shared" si="15"/>
        <v>0</v>
      </c>
      <c r="Z31" s="8">
        <f t="shared" si="16"/>
        <v>-4850.45</v>
      </c>
    </row>
    <row r="32" spans="1:26" x14ac:dyDescent="0.25">
      <c r="B32" s="2" t="s">
        <v>567</v>
      </c>
      <c r="C32" s="6" t="s">
        <v>16</v>
      </c>
      <c r="E32" s="1"/>
      <c r="F32" s="1"/>
      <c r="H32" s="1"/>
      <c r="I32" s="1"/>
      <c r="J32" s="1"/>
      <c r="L32" s="1"/>
      <c r="M32" s="1"/>
      <c r="N32" s="1"/>
      <c r="P32" s="9">
        <v>0</v>
      </c>
      <c r="Q32" s="9">
        <v>0</v>
      </c>
      <c r="R32" s="8">
        <f>P32+Q32</f>
        <v>0</v>
      </c>
      <c r="T32" s="1"/>
      <c r="U32" s="1"/>
      <c r="V32" s="1"/>
      <c r="X32" s="8">
        <f t="shared" ref="X32:Y33" si="17">D32+H32+L32+P32+T32</f>
        <v>0</v>
      </c>
      <c r="Y32" s="8">
        <f t="shared" si="17"/>
        <v>0</v>
      </c>
      <c r="Z32" s="8">
        <f>X32+Y32</f>
        <v>0</v>
      </c>
    </row>
    <row r="33" spans="2:26" x14ac:dyDescent="0.25">
      <c r="B33" s="2" t="s">
        <v>80</v>
      </c>
      <c r="C33" s="6" t="s">
        <v>17</v>
      </c>
      <c r="H33" s="1"/>
      <c r="I33" s="1"/>
      <c r="J33" s="1"/>
      <c r="L33" s="9">
        <v>-70000</v>
      </c>
      <c r="M33" s="9">
        <v>0</v>
      </c>
      <c r="N33" s="8">
        <f>L33+M33</f>
        <v>-70000</v>
      </c>
      <c r="P33" s="9">
        <v>-422212.52</v>
      </c>
      <c r="Q33" s="9">
        <v>0</v>
      </c>
      <c r="R33" s="8">
        <f>P33+Q33</f>
        <v>-422212.52</v>
      </c>
      <c r="X33" s="8">
        <f t="shared" ref="X33" si="18">D33+H33+L33+P33+T33</f>
        <v>-492212.52</v>
      </c>
      <c r="Y33" s="8">
        <f t="shared" si="17"/>
        <v>0</v>
      </c>
      <c r="Z33" s="8">
        <f t="shared" ref="Z33" si="19">F33+J33+N33+R33+V33</f>
        <v>-492212.52</v>
      </c>
    </row>
    <row r="34" spans="2:26" x14ac:dyDescent="0.25">
      <c r="B34" s="2" t="s">
        <v>481</v>
      </c>
      <c r="C34" s="6" t="s">
        <v>90</v>
      </c>
      <c r="H34" s="9">
        <v>-5216.78</v>
      </c>
      <c r="I34" s="9">
        <v>0</v>
      </c>
      <c r="J34" s="8">
        <f>H34+I34</f>
        <v>-5216.78</v>
      </c>
      <c r="P34" s="3"/>
      <c r="Q34" s="3"/>
      <c r="R34" s="3"/>
      <c r="S34" s="1"/>
      <c r="X34" s="15">
        <f t="shared" ref="X34:Z38" si="20">D34+H34+L34+P34+T34</f>
        <v>-5216.78</v>
      </c>
      <c r="Y34" s="15">
        <f t="shared" ref="Y34:Y37" si="21">E34+I34+M34+Q34+U34</f>
        <v>0</v>
      </c>
      <c r="Z34" s="15">
        <f t="shared" ref="Z34:Z37" si="22">F34+J34+N34+R34+V34</f>
        <v>-5216.78</v>
      </c>
    </row>
    <row r="35" spans="2:26" x14ac:dyDescent="0.25">
      <c r="B35" s="2" t="s">
        <v>539</v>
      </c>
      <c r="C35" s="6" t="s">
        <v>18</v>
      </c>
      <c r="D35" s="1"/>
      <c r="E35" s="1"/>
      <c r="F35" s="1"/>
      <c r="H35" s="1"/>
      <c r="I35" s="1"/>
      <c r="J35" s="1"/>
      <c r="L35" s="1"/>
      <c r="M35" s="1"/>
      <c r="N35" s="1"/>
      <c r="P35" s="9">
        <v>-31372</v>
      </c>
      <c r="Q35" s="9">
        <v>0</v>
      </c>
      <c r="R35" s="8">
        <f>P35+Q35</f>
        <v>-31372</v>
      </c>
      <c r="S35" s="1"/>
      <c r="T35" s="1"/>
      <c r="U35" s="1"/>
      <c r="V35" s="1"/>
      <c r="X35" s="8">
        <f t="shared" si="20"/>
        <v>-31372</v>
      </c>
      <c r="Y35" s="8">
        <f t="shared" si="21"/>
        <v>0</v>
      </c>
      <c r="Z35" s="8">
        <f t="shared" si="22"/>
        <v>-31372</v>
      </c>
    </row>
    <row r="36" spans="2:26" x14ac:dyDescent="0.25">
      <c r="B36" s="2" t="s">
        <v>603</v>
      </c>
      <c r="C36" s="6" t="s">
        <v>93</v>
      </c>
      <c r="D36" s="1"/>
      <c r="E36" s="1"/>
      <c r="F36" s="1"/>
      <c r="H36" s="9">
        <v>-4500</v>
      </c>
      <c r="I36" s="9">
        <v>0</v>
      </c>
      <c r="J36" s="8">
        <f>H36+I36</f>
        <v>-4500</v>
      </c>
      <c r="L36" s="1"/>
      <c r="M36" s="1"/>
      <c r="N36" s="1"/>
      <c r="X36" s="8">
        <f t="shared" si="20"/>
        <v>-4500</v>
      </c>
      <c r="Y36" s="8">
        <f t="shared" si="21"/>
        <v>0</v>
      </c>
      <c r="Z36" s="8">
        <f t="shared" si="22"/>
        <v>-4500</v>
      </c>
    </row>
    <row r="37" spans="2:26" x14ac:dyDescent="0.25">
      <c r="B37" s="2" t="s">
        <v>514</v>
      </c>
      <c r="C37" s="6" t="s">
        <v>40</v>
      </c>
      <c r="D37" s="9">
        <v>-5788</v>
      </c>
      <c r="E37" s="9">
        <v>0</v>
      </c>
      <c r="F37" s="8">
        <f>D37+E37</f>
        <v>-5788</v>
      </c>
      <c r="H37" s="1"/>
      <c r="I37" s="1"/>
      <c r="J37" s="1"/>
      <c r="L37" s="1"/>
      <c r="M37" s="1"/>
      <c r="N37" s="1"/>
      <c r="X37" s="8">
        <f t="shared" si="20"/>
        <v>-5788</v>
      </c>
      <c r="Y37" s="8">
        <f t="shared" si="21"/>
        <v>0</v>
      </c>
      <c r="Z37" s="8">
        <f t="shared" si="22"/>
        <v>-5788</v>
      </c>
    </row>
    <row r="38" spans="2:26" x14ac:dyDescent="0.25">
      <c r="B38" s="2" t="s">
        <v>480</v>
      </c>
      <c r="C38" s="6" t="s">
        <v>19</v>
      </c>
      <c r="D38" s="9">
        <v>0</v>
      </c>
      <c r="E38" s="9">
        <v>0</v>
      </c>
      <c r="F38" s="8">
        <f>D38+E38</f>
        <v>0</v>
      </c>
      <c r="H38" s="1"/>
      <c r="I38" s="1"/>
      <c r="J38" s="1"/>
      <c r="L38" s="1"/>
      <c r="M38" s="1"/>
      <c r="N38" s="1"/>
      <c r="X38" s="8">
        <f t="shared" si="20"/>
        <v>0</v>
      </c>
      <c r="Y38" s="8">
        <f t="shared" si="20"/>
        <v>0</v>
      </c>
      <c r="Z38" s="8">
        <f t="shared" si="20"/>
        <v>0</v>
      </c>
    </row>
    <row r="39" spans="2:26" x14ac:dyDescent="0.25">
      <c r="B39" s="2" t="s">
        <v>1</v>
      </c>
      <c r="C39" s="6" t="s">
        <v>20</v>
      </c>
      <c r="D39" s="1"/>
      <c r="E39" s="1"/>
      <c r="F39" s="1"/>
      <c r="H39" s="1"/>
      <c r="I39" s="1"/>
      <c r="J39" s="1"/>
      <c r="L39" s="1"/>
      <c r="M39" s="1"/>
      <c r="N39" s="1"/>
      <c r="P39" s="9">
        <v>-55853</v>
      </c>
      <c r="Q39" s="9">
        <v>0</v>
      </c>
      <c r="R39" s="8">
        <f>P39+Q39</f>
        <v>-55853</v>
      </c>
      <c r="S39" s="1"/>
      <c r="T39" s="1"/>
      <c r="U39" s="1"/>
      <c r="V39" s="1"/>
      <c r="X39" s="8">
        <f t="shared" si="14"/>
        <v>-55853</v>
      </c>
      <c r="Y39" s="8">
        <f t="shared" si="15"/>
        <v>0</v>
      </c>
      <c r="Z39" s="8">
        <f t="shared" si="16"/>
        <v>-55853</v>
      </c>
    </row>
    <row r="40" spans="2:26" x14ac:dyDescent="0.25">
      <c r="B40" s="2" t="s">
        <v>597</v>
      </c>
      <c r="C40" s="6" t="s">
        <v>94</v>
      </c>
      <c r="D40" s="1"/>
      <c r="E40" s="1"/>
      <c r="F40" s="1"/>
      <c r="H40" s="1"/>
      <c r="I40" s="1"/>
      <c r="J40" s="1"/>
      <c r="L40" s="1"/>
      <c r="M40" s="1"/>
      <c r="N40" s="1"/>
      <c r="P40" s="9">
        <v>-100000</v>
      </c>
      <c r="Q40" s="9">
        <v>0</v>
      </c>
      <c r="R40" s="8">
        <f>P40+Q40</f>
        <v>-100000</v>
      </c>
      <c r="S40" s="1"/>
      <c r="T40" s="1"/>
      <c r="U40" s="1"/>
      <c r="V40" s="1"/>
      <c r="X40" s="8">
        <f t="shared" si="14"/>
        <v>-100000</v>
      </c>
      <c r="Y40" s="8">
        <f t="shared" si="15"/>
        <v>0</v>
      </c>
      <c r="Z40" s="8">
        <f t="shared" si="16"/>
        <v>-100000</v>
      </c>
    </row>
    <row r="41" spans="2:26" x14ac:dyDescent="0.25">
      <c r="B41" s="2" t="s">
        <v>9</v>
      </c>
      <c r="C41" s="6" t="s">
        <v>21</v>
      </c>
      <c r="D41" s="1"/>
      <c r="E41" s="1"/>
      <c r="F41" s="1"/>
      <c r="H41" s="9">
        <v>-21000</v>
      </c>
      <c r="I41" s="9">
        <v>0</v>
      </c>
      <c r="J41" s="8">
        <f>H41+I41</f>
        <v>-21000</v>
      </c>
      <c r="L41" s="1"/>
      <c r="M41" s="1"/>
      <c r="N41" s="1"/>
      <c r="P41" s="1"/>
      <c r="Q41" s="1"/>
      <c r="R41" s="1"/>
      <c r="S41" s="1"/>
      <c r="T41" s="1"/>
      <c r="U41" s="1"/>
      <c r="V41" s="1"/>
      <c r="X41" s="8">
        <f t="shared" si="14"/>
        <v>-21000</v>
      </c>
      <c r="Y41" s="8">
        <f t="shared" si="15"/>
        <v>0</v>
      </c>
      <c r="Z41" s="8">
        <f t="shared" si="16"/>
        <v>-21000</v>
      </c>
    </row>
    <row r="42" spans="2:26" x14ac:dyDescent="0.25">
      <c r="B42" s="2" t="s">
        <v>112</v>
      </c>
      <c r="C42" s="6" t="s">
        <v>22</v>
      </c>
      <c r="H42" s="9">
        <v>-11725</v>
      </c>
      <c r="I42" s="9">
        <v>0</v>
      </c>
      <c r="J42" s="8">
        <f>H42+I42</f>
        <v>-11725</v>
      </c>
      <c r="L42" s="1"/>
      <c r="M42" s="1"/>
      <c r="N42" s="1"/>
      <c r="P42" s="1"/>
      <c r="Q42" s="1"/>
      <c r="R42" s="1"/>
      <c r="S42" s="1"/>
      <c r="T42" s="1"/>
      <c r="U42" s="1"/>
      <c r="V42" s="1"/>
      <c r="X42" s="8">
        <f t="shared" si="14"/>
        <v>-11725</v>
      </c>
      <c r="Y42" s="8">
        <f t="shared" si="15"/>
        <v>0</v>
      </c>
      <c r="Z42" s="8">
        <f t="shared" si="16"/>
        <v>-11725</v>
      </c>
    </row>
    <row r="43" spans="2:26" x14ac:dyDescent="0.25">
      <c r="B43" s="2" t="s">
        <v>78</v>
      </c>
      <c r="C43" s="6" t="s">
        <v>23</v>
      </c>
      <c r="H43" s="9">
        <v>-17610</v>
      </c>
      <c r="I43" s="9">
        <v>0</v>
      </c>
      <c r="J43" s="8">
        <f>H43+I43</f>
        <v>-17610</v>
      </c>
      <c r="L43" s="1"/>
      <c r="M43" s="1"/>
      <c r="N43" s="1"/>
      <c r="X43" s="8">
        <f t="shared" si="14"/>
        <v>-17610</v>
      </c>
      <c r="Y43" s="8">
        <f t="shared" si="15"/>
        <v>0</v>
      </c>
      <c r="Z43" s="8">
        <f t="shared" si="16"/>
        <v>-17610</v>
      </c>
    </row>
    <row r="44" spans="2:26" x14ac:dyDescent="0.25">
      <c r="B44" s="2" t="s">
        <v>12</v>
      </c>
      <c r="C44" s="6" t="s">
        <v>95</v>
      </c>
      <c r="H44" s="9">
        <v>-2850</v>
      </c>
      <c r="I44" s="9">
        <v>0</v>
      </c>
      <c r="J44" s="8">
        <f>H44+I44</f>
        <v>-2850</v>
      </c>
      <c r="L44" s="1"/>
      <c r="M44" s="1"/>
      <c r="N44" s="1"/>
      <c r="P44" s="1"/>
      <c r="Q44" s="1"/>
      <c r="R44" s="1"/>
      <c r="S44" s="1"/>
      <c r="T44" s="1"/>
      <c r="U44" s="1"/>
      <c r="V44" s="1"/>
      <c r="X44" s="8">
        <f t="shared" si="14"/>
        <v>-2850</v>
      </c>
      <c r="Y44" s="8">
        <f t="shared" si="15"/>
        <v>0</v>
      </c>
      <c r="Z44" s="8">
        <f t="shared" si="16"/>
        <v>-2850</v>
      </c>
    </row>
    <row r="45" spans="2:26" ht="15.75" thickBot="1" x14ac:dyDescent="0.3">
      <c r="B45" s="2" t="s">
        <v>84</v>
      </c>
      <c r="C45" s="6" t="s">
        <v>96</v>
      </c>
      <c r="H45" s="1"/>
      <c r="I45" s="1"/>
      <c r="J45" s="1"/>
      <c r="L45" s="9">
        <v>-5636</v>
      </c>
      <c r="M45" s="9">
        <v>0</v>
      </c>
      <c r="N45" s="8">
        <f>L45+M45</f>
        <v>-5636</v>
      </c>
      <c r="X45" s="8">
        <f t="shared" si="14"/>
        <v>-5636</v>
      </c>
      <c r="Y45" s="8">
        <f t="shared" si="15"/>
        <v>0</v>
      </c>
      <c r="Z45" s="8">
        <f t="shared" si="16"/>
        <v>-5636</v>
      </c>
    </row>
    <row r="46" spans="2:26" x14ac:dyDescent="0.25">
      <c r="B46" s="2" t="s">
        <v>31</v>
      </c>
      <c r="C46" s="2"/>
      <c r="D46" s="26">
        <f>SUM(D30:D45)</f>
        <v>-5788</v>
      </c>
      <c r="E46" s="26">
        <f>SUM(E30:E45)</f>
        <v>0</v>
      </c>
      <c r="F46" s="26">
        <f>D46+E46</f>
        <v>-5788</v>
      </c>
      <c r="H46" s="26">
        <f>SUM(H30:H45)</f>
        <v>-62901.78</v>
      </c>
      <c r="I46" s="26">
        <f>SUM(I30:I45)</f>
        <v>0</v>
      </c>
      <c r="J46" s="26">
        <f>H46+I46</f>
        <v>-62901.78</v>
      </c>
      <c r="L46" s="26">
        <f>SUM(L30:L45)</f>
        <v>-75636</v>
      </c>
      <c r="M46" s="26">
        <f>SUM(M30:M45)</f>
        <v>0</v>
      </c>
      <c r="N46" s="26">
        <f>L46+M46</f>
        <v>-75636</v>
      </c>
      <c r="P46" s="26">
        <f>SUM(P30:P45)</f>
        <v>-609437.52</v>
      </c>
      <c r="Q46" s="26">
        <f>SUM(Q30:Q45)</f>
        <v>0</v>
      </c>
      <c r="R46" s="26">
        <f>P46+Q46</f>
        <v>-609437.52</v>
      </c>
      <c r="S46" s="1"/>
      <c r="T46" s="26">
        <f>SUM(T30:T45)</f>
        <v>-19988.78</v>
      </c>
      <c r="U46" s="26">
        <f>SUM(U30:U45)</f>
        <v>0</v>
      </c>
      <c r="V46" s="26">
        <f>T46+U46</f>
        <v>-19988.78</v>
      </c>
      <c r="X46" s="26">
        <f t="shared" si="14"/>
        <v>-773752.08000000007</v>
      </c>
      <c r="Y46" s="26">
        <f t="shared" si="15"/>
        <v>0</v>
      </c>
      <c r="Z46" s="26">
        <f t="shared" si="16"/>
        <v>-773752.08000000007</v>
      </c>
    </row>
    <row r="47" spans="2:26" x14ac:dyDescent="0.25">
      <c r="H47" s="1"/>
      <c r="L47" s="1"/>
      <c r="M47" s="1"/>
      <c r="N47" s="1"/>
      <c r="P47" s="1"/>
      <c r="Q47" s="1"/>
      <c r="R47" s="1"/>
      <c r="S47" s="1"/>
      <c r="T47" s="1"/>
      <c r="U47" s="1"/>
      <c r="V47" s="1"/>
    </row>
    <row r="48" spans="2:26" x14ac:dyDescent="0.25">
      <c r="B48" s="5" t="s">
        <v>10</v>
      </c>
      <c r="C48" s="5"/>
      <c r="L48" s="1"/>
      <c r="M48" s="1"/>
      <c r="N48" s="1"/>
      <c r="P48" s="1"/>
      <c r="Q48" s="1"/>
      <c r="R48" s="1"/>
      <c r="S48" s="1"/>
      <c r="T48" s="1"/>
      <c r="U48" s="1"/>
      <c r="V48" s="1"/>
    </row>
    <row r="49" spans="1:26" x14ac:dyDescent="0.25">
      <c r="B49" s="2" t="s">
        <v>7</v>
      </c>
      <c r="C49" s="2"/>
      <c r="F49" s="1"/>
      <c r="H49" s="1"/>
      <c r="I49" s="1"/>
      <c r="J49" s="1"/>
      <c r="L49" s="1"/>
      <c r="M49" s="1"/>
      <c r="N49" s="1"/>
      <c r="P49" s="9">
        <v>0</v>
      </c>
      <c r="Q49" s="8">
        <f>-T49</f>
        <v>420</v>
      </c>
      <c r="R49" s="8">
        <f>P49+Q49</f>
        <v>420</v>
      </c>
      <c r="S49" s="1"/>
      <c r="T49" s="8">
        <v>-420</v>
      </c>
      <c r="U49" s="9">
        <v>0</v>
      </c>
      <c r="V49" s="8">
        <f>T49+U49</f>
        <v>-420</v>
      </c>
      <c r="X49" s="8">
        <f t="shared" ref="X49:X56" si="23">D49+H49+L49+P49+T49</f>
        <v>-420</v>
      </c>
      <c r="Y49" s="8">
        <f t="shared" ref="Y49:Y56" si="24">E49+I49+M49+Q49+U49</f>
        <v>420</v>
      </c>
      <c r="Z49" s="8">
        <f t="shared" ref="Z49:Z56" si="25">F49+J49+N49+R49+V49</f>
        <v>0</v>
      </c>
    </row>
    <row r="50" spans="1:26" x14ac:dyDescent="0.25">
      <c r="B50" s="2" t="s">
        <v>79</v>
      </c>
      <c r="C50" s="2"/>
      <c r="D50" s="1"/>
      <c r="E50" s="1"/>
      <c r="F50" s="1"/>
      <c r="H50" s="1"/>
      <c r="I50" s="1"/>
      <c r="J50" s="1"/>
      <c r="L50" s="1"/>
      <c r="M50" s="1"/>
      <c r="N50" s="1"/>
      <c r="P50" s="9">
        <v>0</v>
      </c>
      <c r="Q50" s="8">
        <f>-T50</f>
        <v>14591.22</v>
      </c>
      <c r="R50" s="8">
        <f>P50+Q50</f>
        <v>14591.22</v>
      </c>
      <c r="S50" s="1"/>
      <c r="T50" s="8">
        <v>-14591.22</v>
      </c>
      <c r="U50" s="9">
        <v>0</v>
      </c>
      <c r="V50" s="8">
        <f>T50+U50</f>
        <v>-14591.22</v>
      </c>
      <c r="X50" s="8">
        <f t="shared" si="23"/>
        <v>-14591.22</v>
      </c>
      <c r="Y50" s="8">
        <f t="shared" si="24"/>
        <v>14591.22</v>
      </c>
      <c r="Z50" s="8">
        <f t="shared" si="25"/>
        <v>0</v>
      </c>
    </row>
    <row r="51" spans="1:26" x14ac:dyDescent="0.25">
      <c r="B51" s="2" t="s">
        <v>80</v>
      </c>
      <c r="C51" s="6" t="s">
        <v>17</v>
      </c>
      <c r="D51" s="1"/>
      <c r="E51" s="1"/>
      <c r="F51" s="1"/>
      <c r="H51" s="1"/>
      <c r="I51" s="1"/>
      <c r="J51" s="1"/>
      <c r="L51" s="1"/>
      <c r="M51" s="1"/>
      <c r="N51" s="1"/>
      <c r="P51" s="9">
        <v>-0.48</v>
      </c>
      <c r="Q51" s="8">
        <f>-P51</f>
        <v>0.48</v>
      </c>
      <c r="R51" s="8">
        <f>P51+Q51</f>
        <v>0</v>
      </c>
      <c r="S51" s="1"/>
      <c r="T51" s="1"/>
      <c r="U51" s="1"/>
      <c r="V51" s="1"/>
      <c r="X51" s="8">
        <f t="shared" si="23"/>
        <v>-0.48</v>
      </c>
      <c r="Y51" s="8">
        <f t="shared" si="24"/>
        <v>0.48</v>
      </c>
      <c r="Z51" s="8">
        <f t="shared" si="25"/>
        <v>0</v>
      </c>
    </row>
    <row r="52" spans="1:26" x14ac:dyDescent="0.25">
      <c r="B52" s="2" t="s">
        <v>481</v>
      </c>
      <c r="C52" s="6" t="s">
        <v>90</v>
      </c>
      <c r="H52" s="14">
        <v>-77.25</v>
      </c>
      <c r="I52" s="15">
        <f>-H52</f>
        <v>77.25</v>
      </c>
      <c r="J52" s="15">
        <f>H52+I52</f>
        <v>0</v>
      </c>
      <c r="X52" s="15">
        <f t="shared" si="23"/>
        <v>-77.25</v>
      </c>
      <c r="Y52" s="15">
        <f t="shared" si="24"/>
        <v>77.25</v>
      </c>
      <c r="Z52" s="15">
        <f t="shared" si="25"/>
        <v>0</v>
      </c>
    </row>
    <row r="53" spans="1:26" x14ac:dyDescent="0.25">
      <c r="B53" s="2" t="s">
        <v>525</v>
      </c>
      <c r="C53" s="6" t="s">
        <v>92</v>
      </c>
      <c r="D53" s="1"/>
      <c r="E53" s="1"/>
      <c r="F53" s="1"/>
      <c r="H53" s="1"/>
      <c r="I53" s="1"/>
      <c r="J53" s="1"/>
      <c r="L53" s="9">
        <v>-603.27</v>
      </c>
      <c r="M53" s="8">
        <f>-L53</f>
        <v>603.27</v>
      </c>
      <c r="N53" s="8">
        <f>L53+M53</f>
        <v>0</v>
      </c>
      <c r="P53" s="1"/>
      <c r="Q53" s="1"/>
      <c r="R53" s="1"/>
      <c r="S53" s="1"/>
      <c r="T53" s="1"/>
      <c r="U53" s="1"/>
      <c r="V53" s="1"/>
      <c r="X53" s="8">
        <f t="shared" si="23"/>
        <v>-603.27</v>
      </c>
      <c r="Y53" s="8">
        <f t="shared" si="24"/>
        <v>603.27</v>
      </c>
      <c r="Z53" s="8">
        <f t="shared" si="25"/>
        <v>0</v>
      </c>
    </row>
    <row r="54" spans="1:26" x14ac:dyDescent="0.25">
      <c r="B54" s="24" t="s">
        <v>602</v>
      </c>
      <c r="C54" s="6" t="s">
        <v>506</v>
      </c>
      <c r="D54" s="1"/>
      <c r="E54" s="1"/>
      <c r="F54" s="1"/>
      <c r="H54" s="9">
        <v>-1762</v>
      </c>
      <c r="I54" s="8">
        <f>-H54</f>
        <v>1762</v>
      </c>
      <c r="J54" s="8">
        <f>H54+I54</f>
        <v>0</v>
      </c>
      <c r="L54" s="1"/>
      <c r="M54" s="1"/>
      <c r="N54" s="1"/>
      <c r="P54" s="1"/>
      <c r="Q54" s="1"/>
      <c r="R54" s="1"/>
      <c r="S54" s="1"/>
      <c r="T54" s="1"/>
      <c r="U54" s="1"/>
      <c r="V54" s="1"/>
      <c r="X54" s="8">
        <f t="shared" ref="X54" si="26">D54+H54+L54+P54+T54</f>
        <v>-1762</v>
      </c>
      <c r="Y54" s="8">
        <f t="shared" ref="Y54" si="27">E54+I54+M54+Q54+U54</f>
        <v>1762</v>
      </c>
      <c r="Z54" s="8">
        <f t="shared" ref="Z54" si="28">F54+J54+N54+R54+V54</f>
        <v>0</v>
      </c>
    </row>
    <row r="55" spans="1:26" x14ac:dyDescent="0.25">
      <c r="B55" s="2" t="s">
        <v>514</v>
      </c>
      <c r="C55" s="6" t="s">
        <v>40</v>
      </c>
      <c r="D55" s="9">
        <v>-1546.05</v>
      </c>
      <c r="E55" s="8">
        <f>-D55</f>
        <v>1546.05</v>
      </c>
      <c r="F55" s="8">
        <f>D55+E55</f>
        <v>0</v>
      </c>
      <c r="L55" s="1"/>
      <c r="M55" s="1"/>
      <c r="N55" s="1"/>
      <c r="P55" s="1"/>
      <c r="Q55" s="1"/>
      <c r="R55" s="1"/>
      <c r="S55" s="1"/>
      <c r="T55" s="1"/>
      <c r="U55" s="1"/>
      <c r="V55" s="1"/>
      <c r="X55" s="8">
        <f t="shared" si="23"/>
        <v>-1546.05</v>
      </c>
      <c r="Y55" s="8">
        <f t="shared" si="24"/>
        <v>1546.05</v>
      </c>
      <c r="Z55" s="8">
        <f t="shared" si="25"/>
        <v>0</v>
      </c>
    </row>
    <row r="56" spans="1:26" x14ac:dyDescent="0.25">
      <c r="A56" s="2"/>
      <c r="B56" s="2" t="s">
        <v>78</v>
      </c>
      <c r="C56" s="6" t="s">
        <v>23</v>
      </c>
      <c r="D56" s="1"/>
      <c r="E56" s="1"/>
      <c r="F56" s="1"/>
      <c r="H56" s="9">
        <v>-890</v>
      </c>
      <c r="I56" s="8">
        <f>-H56</f>
        <v>890</v>
      </c>
      <c r="J56" s="8">
        <f>H56+I56</f>
        <v>0</v>
      </c>
      <c r="L56" s="1"/>
      <c r="M56" s="1"/>
      <c r="N56" s="1"/>
      <c r="P56" s="1"/>
      <c r="Q56" s="1"/>
      <c r="R56" s="1"/>
      <c r="S56" s="1"/>
      <c r="T56" s="1"/>
      <c r="U56" s="1"/>
      <c r="V56" s="1"/>
      <c r="X56" s="8">
        <f t="shared" si="23"/>
        <v>-890</v>
      </c>
      <c r="Y56" s="8">
        <f t="shared" si="24"/>
        <v>890</v>
      </c>
      <c r="Z56" s="8">
        <f t="shared" si="25"/>
        <v>0</v>
      </c>
    </row>
    <row r="57" spans="1:26" ht="15.75" thickBot="1" x14ac:dyDescent="0.3">
      <c r="B57" s="2" t="s">
        <v>84</v>
      </c>
      <c r="C57" s="6" t="s">
        <v>96</v>
      </c>
      <c r="D57" s="1"/>
      <c r="E57" s="1"/>
      <c r="F57" s="1"/>
      <c r="L57" s="9">
        <v>-3014</v>
      </c>
      <c r="M57" s="8">
        <f>-L57</f>
        <v>3014</v>
      </c>
      <c r="N57" s="8">
        <f>L57+M57</f>
        <v>0</v>
      </c>
      <c r="P57" s="1"/>
      <c r="Q57" s="1"/>
      <c r="R57" s="1"/>
      <c r="S57" s="1"/>
      <c r="T57" s="1"/>
      <c r="U57" s="1"/>
      <c r="V57" s="1"/>
      <c r="X57" s="8">
        <f t="shared" ref="X57:X58" si="29">D57+H57+L57+P57+T57</f>
        <v>-3014</v>
      </c>
      <c r="Y57" s="8">
        <f t="shared" ref="Y57:Y58" si="30">E57+I57+M57+Q57+U57</f>
        <v>3014</v>
      </c>
      <c r="Z57" s="8">
        <f t="shared" ref="Z57:Z58" si="31">F57+J57+N57+R57+V57</f>
        <v>0</v>
      </c>
    </row>
    <row r="58" spans="1:26" x14ac:dyDescent="0.25">
      <c r="B58" s="2" t="s">
        <v>32</v>
      </c>
      <c r="C58" s="2"/>
      <c r="D58" s="26">
        <f>SUM(D48:D57)</f>
        <v>-1546.05</v>
      </c>
      <c r="E58" s="26">
        <f>SUM(E48:E57)</f>
        <v>1546.05</v>
      </c>
      <c r="F58" s="26">
        <f>D58+E58</f>
        <v>0</v>
      </c>
      <c r="H58" s="26">
        <f>SUM(H48:H57)</f>
        <v>-2729.25</v>
      </c>
      <c r="I58" s="26">
        <f>SUM(I48:I57)</f>
        <v>2729.25</v>
      </c>
      <c r="J58" s="26">
        <f>SUM(J48:J57)</f>
        <v>0</v>
      </c>
      <c r="L58" s="26">
        <f>SUM(L48:L57)</f>
        <v>-3617.27</v>
      </c>
      <c r="M58" s="26">
        <f>SUM(M48:M57)</f>
        <v>3617.27</v>
      </c>
      <c r="N58" s="26">
        <f>L58+M58</f>
        <v>0</v>
      </c>
      <c r="P58" s="26">
        <f>SUM(P48:P57)</f>
        <v>-0.48</v>
      </c>
      <c r="Q58" s="26">
        <f>SUM(Q48:Q57)</f>
        <v>15011.699999999999</v>
      </c>
      <c r="R58" s="26">
        <f>P58+Q58</f>
        <v>15011.22</v>
      </c>
      <c r="S58" s="1"/>
      <c r="T58" s="26">
        <f>SUM(T48:T57)</f>
        <v>-15011.22</v>
      </c>
      <c r="U58" s="26">
        <f>U46+SUM(U48:U57)</f>
        <v>0</v>
      </c>
      <c r="V58" s="26">
        <f>T58+U58</f>
        <v>-15011.22</v>
      </c>
      <c r="X58" s="26">
        <f t="shared" si="29"/>
        <v>-22904.269999999997</v>
      </c>
      <c r="Y58" s="26">
        <f t="shared" si="30"/>
        <v>22904.269999999997</v>
      </c>
      <c r="Z58" s="26">
        <f t="shared" si="31"/>
        <v>0</v>
      </c>
    </row>
    <row r="59" spans="1:26" x14ac:dyDescent="0.25">
      <c r="B59" s="2"/>
      <c r="C59" s="2"/>
      <c r="D59" s="1"/>
      <c r="E59" s="1"/>
      <c r="F59" s="1"/>
      <c r="H59" s="1"/>
      <c r="L59" s="1"/>
      <c r="M59" s="1"/>
      <c r="N59" s="1"/>
    </row>
    <row r="60" spans="1:26" x14ac:dyDescent="0.25">
      <c r="B60" s="2" t="s">
        <v>45</v>
      </c>
      <c r="C60" s="2"/>
      <c r="D60" s="8">
        <f>D7+D15+D27+D46+D58</f>
        <v>7454.8</v>
      </c>
      <c r="E60" s="8">
        <f>E7+E15+E27+E46+E58</f>
        <v>376379.97000000003</v>
      </c>
      <c r="F60" s="8">
        <f>D60+E60</f>
        <v>383834.77</v>
      </c>
      <c r="H60" s="8">
        <f>H7+H15+H27+H46+H58</f>
        <v>107275</v>
      </c>
      <c r="I60" s="8">
        <f>I7+I15+I27+I46+I58</f>
        <v>107013.16999999998</v>
      </c>
      <c r="J60" s="8">
        <f>H60+I60</f>
        <v>214288.16999999998</v>
      </c>
      <c r="L60" s="8">
        <f>L7+L15+L27+L46+L58</f>
        <v>4.0927261579781771E-12</v>
      </c>
      <c r="M60" s="8">
        <f>M7+M15+M27+M46+M58</f>
        <v>27810.02</v>
      </c>
      <c r="N60" s="8">
        <f>L60+M60</f>
        <v>27810.020000000004</v>
      </c>
      <c r="P60" s="8">
        <f>P7+P15+P27+P46+P58</f>
        <v>165075.34000000005</v>
      </c>
      <c r="Q60" s="8">
        <f>Q7+Q15+Q27+Q46+Q58</f>
        <v>467061.7</v>
      </c>
      <c r="R60" s="8">
        <f>P60+Q60</f>
        <v>632137.04</v>
      </c>
      <c r="T60" s="8">
        <f>T7+T15+T27+T46+T58</f>
        <v>0</v>
      </c>
      <c r="U60" s="8">
        <f>U7+U15+U27+U46+U58</f>
        <v>0</v>
      </c>
      <c r="V60" s="8">
        <f>T60+U60</f>
        <v>0</v>
      </c>
      <c r="X60" s="8">
        <f>D60+H60+L60+P60+T60</f>
        <v>279805.14000000007</v>
      </c>
      <c r="Y60" s="8">
        <f>E60+I60+M60+Q60+U60</f>
        <v>978264.8600000001</v>
      </c>
      <c r="Z60" s="8">
        <f>F60+J60+N60+R60+V60</f>
        <v>1258070</v>
      </c>
    </row>
    <row r="61" spans="1:26" x14ac:dyDescent="0.25">
      <c r="B61" s="2"/>
      <c r="C61" s="2"/>
      <c r="D61" s="1"/>
      <c r="E61" s="1"/>
      <c r="F61" s="1"/>
      <c r="H61" s="1"/>
      <c r="L61" s="1"/>
      <c r="M61" s="1"/>
      <c r="N61" s="1"/>
    </row>
    <row r="62" spans="1:26" x14ac:dyDescent="0.25">
      <c r="B62" s="5" t="s">
        <v>73</v>
      </c>
      <c r="C62" s="5"/>
    </row>
    <row r="63" spans="1:26" x14ac:dyDescent="0.25">
      <c r="B63" s="2" t="s">
        <v>52</v>
      </c>
      <c r="C63" s="2"/>
      <c r="L63" s="1"/>
      <c r="M63" s="1"/>
      <c r="N63" s="1"/>
      <c r="P63" s="9">
        <v>26000</v>
      </c>
      <c r="Q63" s="8">
        <f>-P63</f>
        <v>-26000</v>
      </c>
      <c r="R63" s="8">
        <f>P63+Q63</f>
        <v>0</v>
      </c>
      <c r="S63" s="1"/>
      <c r="T63" s="1"/>
      <c r="U63" s="1"/>
      <c r="V63" s="1"/>
      <c r="X63" s="8">
        <f t="shared" ref="X63:Z66" si="32">D63+H63+L63+P63+T63</f>
        <v>26000</v>
      </c>
      <c r="Y63" s="8">
        <f t="shared" si="32"/>
        <v>-26000</v>
      </c>
      <c r="Z63" s="8">
        <f t="shared" si="32"/>
        <v>0</v>
      </c>
    </row>
    <row r="64" spans="1:26" x14ac:dyDescent="0.25">
      <c r="B64" s="2" t="s">
        <v>81</v>
      </c>
      <c r="C64" s="6" t="s">
        <v>17</v>
      </c>
      <c r="L64" s="9">
        <v>23000</v>
      </c>
      <c r="M64" s="8">
        <f>-L64</f>
        <v>-23000</v>
      </c>
      <c r="N64" s="8">
        <f>L64+M64</f>
        <v>0</v>
      </c>
      <c r="P64" s="14">
        <f>419013 - 364000</f>
        <v>55013</v>
      </c>
      <c r="Q64" s="15">
        <f>-P64</f>
        <v>-55013</v>
      </c>
      <c r="R64" s="15">
        <f>P64+Q64</f>
        <v>0</v>
      </c>
      <c r="S64" s="1"/>
      <c r="X64" s="15">
        <f t="shared" ref="X64" si="33">D64+H64+L64+P64+T64</f>
        <v>78013</v>
      </c>
      <c r="Y64" s="15">
        <f t="shared" ref="Y64" si="34">E64+I64+M64+Q64+U64</f>
        <v>-78013</v>
      </c>
      <c r="Z64" s="15">
        <f t="shared" ref="Z64" si="35">F64+J64+N64+R64+V64</f>
        <v>0</v>
      </c>
    </row>
    <row r="65" spans="1:26" ht="15.75" thickBot="1" x14ac:dyDescent="0.3">
      <c r="B65" s="2" t="s">
        <v>581</v>
      </c>
      <c r="C65" s="6" t="s">
        <v>24</v>
      </c>
      <c r="L65" s="1"/>
      <c r="M65" s="1"/>
      <c r="N65" s="1"/>
      <c r="P65" s="9">
        <v>75000</v>
      </c>
      <c r="Q65" s="8">
        <f>-P65</f>
        <v>-75000</v>
      </c>
      <c r="R65" s="8">
        <f>P65+Q65</f>
        <v>0</v>
      </c>
      <c r="S65" s="1"/>
      <c r="T65" s="1"/>
      <c r="U65" s="1"/>
      <c r="V65" s="1"/>
      <c r="X65" s="8">
        <f t="shared" si="32"/>
        <v>75000</v>
      </c>
      <c r="Y65" s="8">
        <f t="shared" si="32"/>
        <v>-75000</v>
      </c>
      <c r="Z65" s="8">
        <f t="shared" si="32"/>
        <v>0</v>
      </c>
    </row>
    <row r="66" spans="1:26" x14ac:dyDescent="0.25">
      <c r="B66" s="2" t="s">
        <v>33</v>
      </c>
      <c r="C66" s="2"/>
      <c r="D66" s="26">
        <f>SUM(D63:D65)</f>
        <v>0</v>
      </c>
      <c r="E66" s="26">
        <f>SUM(E63:E65)</f>
        <v>0</v>
      </c>
      <c r="F66" s="26">
        <f>D66+E66</f>
        <v>0</v>
      </c>
      <c r="H66" s="26">
        <f>SUM(H63:H65)</f>
        <v>0</v>
      </c>
      <c r="I66" s="26">
        <f>SUM(I63:I65)</f>
        <v>0</v>
      </c>
      <c r="J66" s="26">
        <f>H66+I66</f>
        <v>0</v>
      </c>
      <c r="L66" s="26">
        <f>SUM(L63:L65)</f>
        <v>23000</v>
      </c>
      <c r="M66" s="26">
        <f>SUM(M63:M65)</f>
        <v>-23000</v>
      </c>
      <c r="N66" s="26">
        <f>L66+M66</f>
        <v>0</v>
      </c>
      <c r="P66" s="26">
        <f>SUM(P63:P65)</f>
        <v>156013</v>
      </c>
      <c r="Q66" s="26">
        <f>SUM(Q63:Q65)</f>
        <v>-156013</v>
      </c>
      <c r="R66" s="26">
        <f>P66+Q66</f>
        <v>0</v>
      </c>
      <c r="S66" s="1"/>
      <c r="T66" s="26">
        <f>SUM(T63:T65)</f>
        <v>0</v>
      </c>
      <c r="U66" s="26">
        <f>SUM(U63:U65)</f>
        <v>0</v>
      </c>
      <c r="V66" s="26">
        <f>T66+U66</f>
        <v>0</v>
      </c>
      <c r="X66" s="26">
        <f t="shared" si="32"/>
        <v>179013</v>
      </c>
      <c r="Y66" s="26">
        <f t="shared" si="32"/>
        <v>-179013</v>
      </c>
      <c r="Z66" s="26">
        <f t="shared" si="32"/>
        <v>0</v>
      </c>
    </row>
    <row r="67" spans="1:26" x14ac:dyDescent="0.25">
      <c r="L67" s="1"/>
      <c r="M67" s="1"/>
      <c r="N67" s="1"/>
      <c r="P67" s="1"/>
      <c r="Q67" s="1"/>
      <c r="R67" s="1"/>
      <c r="S67" s="1"/>
      <c r="T67" s="1"/>
      <c r="U67" s="1"/>
      <c r="V67" s="1"/>
      <c r="X67" s="1"/>
      <c r="Y67" s="1"/>
      <c r="Z67" s="1"/>
    </row>
    <row r="68" spans="1:26" ht="15.75" thickBot="1" x14ac:dyDescent="0.3">
      <c r="B68" s="2" t="s">
        <v>29</v>
      </c>
      <c r="C68" s="2"/>
      <c r="D68" s="17">
        <f>ROUND(D60+D66,2)</f>
        <v>7454.8</v>
      </c>
      <c r="E68" s="17">
        <f>ROUND(E60+E66,2)</f>
        <v>376379.97</v>
      </c>
      <c r="F68" s="17">
        <f>D68+E68</f>
        <v>383834.76999999996</v>
      </c>
      <c r="H68" s="17">
        <f>ROUND(H60+H66,2)</f>
        <v>107275</v>
      </c>
      <c r="I68" s="17">
        <f>ROUND(I60+I66,2)</f>
        <v>107013.17</v>
      </c>
      <c r="J68" s="17">
        <f>H68+I68</f>
        <v>214288.16999999998</v>
      </c>
      <c r="L68" s="17">
        <f>ROUND(L60+L66,2)</f>
        <v>23000</v>
      </c>
      <c r="M68" s="17">
        <f>ROUND(M60+M66,2)</f>
        <v>4810.0200000000004</v>
      </c>
      <c r="N68" s="17">
        <f>L68+M68</f>
        <v>27810.02</v>
      </c>
      <c r="P68" s="17">
        <f>ROUND(P60+P66,2)</f>
        <v>321088.34000000003</v>
      </c>
      <c r="Q68" s="17">
        <f>ROUND(Q60+Q66,2)</f>
        <v>311048.7</v>
      </c>
      <c r="R68" s="17">
        <f>P68+Q68</f>
        <v>632137.04</v>
      </c>
      <c r="T68" s="17">
        <f>ROUND(T60+T66,2)</f>
        <v>0</v>
      </c>
      <c r="U68" s="17">
        <f>ROUND(U60+U66,2)</f>
        <v>0</v>
      </c>
      <c r="V68" s="17">
        <f>T68+U68</f>
        <v>0</v>
      </c>
      <c r="X68" s="17">
        <f>D68+H68+L68+P68+T68</f>
        <v>458818.14</v>
      </c>
      <c r="Y68" s="17">
        <f>E68+I68+M68+Q68+U68</f>
        <v>799251.86</v>
      </c>
      <c r="Z68" s="17">
        <f>F68+J68+N68+R68+V68</f>
        <v>1258070</v>
      </c>
    </row>
    <row r="69" spans="1:26" ht="15.75" thickTop="1" x14ac:dyDescent="0.25"/>
    <row r="74" spans="1:26" x14ac:dyDescent="0.25">
      <c r="A74" s="35" t="s">
        <v>54</v>
      </c>
      <c r="B74" s="35"/>
      <c r="C74" s="19"/>
    </row>
    <row r="76" spans="1:26" x14ac:dyDescent="0.25">
      <c r="B76" s="5" t="s">
        <v>51</v>
      </c>
      <c r="C76" s="5"/>
    </row>
    <row r="77" spans="1:26" x14ac:dyDescent="0.25">
      <c r="B77" s="2" t="s">
        <v>743</v>
      </c>
      <c r="C77" s="2"/>
      <c r="D77" s="9">
        <v>0</v>
      </c>
      <c r="E77" s="9">
        <v>52000</v>
      </c>
      <c r="F77" s="8">
        <f>D77+E77</f>
        <v>52000</v>
      </c>
      <c r="H77" s="9">
        <v>0</v>
      </c>
      <c r="I77" s="9">
        <v>52000</v>
      </c>
      <c r="J77" s="8">
        <f>H77+I77</f>
        <v>52000</v>
      </c>
      <c r="L77" s="9">
        <v>0</v>
      </c>
      <c r="M77" s="9">
        <v>52000</v>
      </c>
      <c r="N77" s="8">
        <f>L77+M77</f>
        <v>52000</v>
      </c>
      <c r="P77" s="9">
        <v>0</v>
      </c>
      <c r="Q77" s="9">
        <v>364000</v>
      </c>
      <c r="R77" s="8">
        <f>P77+Q77</f>
        <v>364000</v>
      </c>
      <c r="T77" s="1"/>
      <c r="U77" s="1"/>
      <c r="V77" s="1"/>
      <c r="X77" s="8">
        <f t="shared" ref="X77:Z79" si="36">D77+H77+L77+P77+T77</f>
        <v>0</v>
      </c>
      <c r="Y77" s="8">
        <f t="shared" si="36"/>
        <v>520000</v>
      </c>
      <c r="Z77" s="8">
        <f t="shared" si="36"/>
        <v>520000</v>
      </c>
    </row>
    <row r="78" spans="1:26" ht="15.75" thickBot="1" x14ac:dyDescent="0.3">
      <c r="B78" s="2" t="s">
        <v>85</v>
      </c>
      <c r="C78" s="2"/>
      <c r="D78" s="14">
        <v>0</v>
      </c>
      <c r="E78" s="14">
        <v>0</v>
      </c>
      <c r="F78" s="15">
        <f>D78+E78</f>
        <v>0</v>
      </c>
      <c r="H78" s="14">
        <v>0</v>
      </c>
      <c r="I78" s="14">
        <v>0</v>
      </c>
      <c r="J78" s="15">
        <f>H78+I78</f>
        <v>0</v>
      </c>
      <c r="L78" s="14">
        <v>0</v>
      </c>
      <c r="M78" s="14">
        <v>0</v>
      </c>
      <c r="N78" s="15">
        <f>L78+M78</f>
        <v>0</v>
      </c>
      <c r="P78" s="14">
        <v>0</v>
      </c>
      <c r="Q78" s="14">
        <v>0</v>
      </c>
      <c r="R78" s="15">
        <f>P78+Q78</f>
        <v>0</v>
      </c>
      <c r="X78" s="15">
        <f t="shared" si="36"/>
        <v>0</v>
      </c>
      <c r="Y78" s="15">
        <f t="shared" si="36"/>
        <v>0</v>
      </c>
      <c r="Z78" s="15">
        <f t="shared" si="36"/>
        <v>0</v>
      </c>
    </row>
    <row r="79" spans="1:26" x14ac:dyDescent="0.25">
      <c r="B79" s="2" t="s">
        <v>55</v>
      </c>
      <c r="C79" s="2"/>
      <c r="D79" s="26">
        <f>SUM(D77:D78)</f>
        <v>0</v>
      </c>
      <c r="E79" s="26">
        <f>SUM(E77:E78)</f>
        <v>52000</v>
      </c>
      <c r="F79" s="26">
        <f>D79+E79</f>
        <v>52000</v>
      </c>
      <c r="H79" s="26">
        <f>SUM(H77:H78)</f>
        <v>0</v>
      </c>
      <c r="I79" s="26">
        <f>SUM(I77:I78)</f>
        <v>52000</v>
      </c>
      <c r="J79" s="26">
        <f>H79+I79</f>
        <v>52000</v>
      </c>
      <c r="L79" s="26">
        <f>SUM(L77:L78)</f>
        <v>0</v>
      </c>
      <c r="M79" s="26">
        <f>SUM(M77:M78)</f>
        <v>52000</v>
      </c>
      <c r="N79" s="26">
        <f>L79+M79</f>
        <v>52000</v>
      </c>
      <c r="P79" s="26">
        <f>SUM(P77:P78)</f>
        <v>0</v>
      </c>
      <c r="Q79" s="26">
        <f>SUM(Q77:Q78)</f>
        <v>364000</v>
      </c>
      <c r="R79" s="26">
        <f>P79+Q79</f>
        <v>364000</v>
      </c>
      <c r="S79" s="1"/>
      <c r="T79" s="26">
        <f>SUM(T77:T78)</f>
        <v>0</v>
      </c>
      <c r="U79" s="26">
        <f>SUM(U77:U78)</f>
        <v>0</v>
      </c>
      <c r="V79" s="26">
        <f>T79+U79</f>
        <v>0</v>
      </c>
      <c r="X79" s="26">
        <f t="shared" si="36"/>
        <v>0</v>
      </c>
      <c r="Y79" s="26">
        <f t="shared" si="36"/>
        <v>520000</v>
      </c>
      <c r="Z79" s="26">
        <f t="shared" si="36"/>
        <v>520000</v>
      </c>
    </row>
    <row r="80" spans="1:26" x14ac:dyDescent="0.25">
      <c r="B80" s="2"/>
      <c r="C80" s="2"/>
    </row>
    <row r="81" spans="2:26" x14ac:dyDescent="0.25">
      <c r="B81" s="5" t="s">
        <v>57</v>
      </c>
      <c r="C81" s="5"/>
    </row>
    <row r="82" spans="2:26" x14ac:dyDescent="0.25">
      <c r="B82" s="2" t="s">
        <v>87</v>
      </c>
      <c r="C82" s="2"/>
      <c r="H82" s="1"/>
      <c r="I82" s="1"/>
      <c r="J82" s="1"/>
      <c r="L82" s="1"/>
      <c r="M82" s="1"/>
      <c r="N82" s="1"/>
      <c r="P82" s="9">
        <v>0</v>
      </c>
      <c r="Q82" s="8">
        <f>-T82</f>
        <v>-26000</v>
      </c>
      <c r="R82" s="8">
        <f>P82+Q82</f>
        <v>-26000</v>
      </c>
      <c r="T82" s="9">
        <v>26000</v>
      </c>
      <c r="U82" s="9">
        <v>0</v>
      </c>
      <c r="V82" s="8">
        <f>T82+U82</f>
        <v>26000</v>
      </c>
      <c r="X82" s="8">
        <f t="shared" ref="X82:Z83" si="37">D82+H82+L82+P82+T82</f>
        <v>26000</v>
      </c>
      <c r="Y82" s="8">
        <f t="shared" si="37"/>
        <v>-26000</v>
      </c>
      <c r="Z82" s="8">
        <f t="shared" si="37"/>
        <v>0</v>
      </c>
    </row>
    <row r="83" spans="2:26" x14ac:dyDescent="0.25">
      <c r="B83" s="2" t="s">
        <v>81</v>
      </c>
      <c r="C83" s="6" t="s">
        <v>17</v>
      </c>
      <c r="H83" s="1"/>
      <c r="I83" s="1"/>
      <c r="J83" s="1"/>
      <c r="L83" s="9">
        <v>75000</v>
      </c>
      <c r="M83" s="8">
        <f>-L83</f>
        <v>-75000</v>
      </c>
      <c r="N83" s="8">
        <f>L83+M83</f>
        <v>0</v>
      </c>
      <c r="P83" s="9">
        <v>419013</v>
      </c>
      <c r="Q83" s="8">
        <f>-P83</f>
        <v>-419013</v>
      </c>
      <c r="R83" s="8">
        <f>P83+Q83</f>
        <v>0</v>
      </c>
      <c r="X83" s="8">
        <f t="shared" si="37"/>
        <v>494013</v>
      </c>
      <c r="Y83" s="8">
        <f t="shared" si="37"/>
        <v>-494013</v>
      </c>
      <c r="Z83" s="8">
        <f t="shared" si="37"/>
        <v>0</v>
      </c>
    </row>
    <row r="84" spans="2:26" x14ac:dyDescent="0.25">
      <c r="B84" s="2" t="s">
        <v>581</v>
      </c>
      <c r="C84" s="6" t="s">
        <v>24</v>
      </c>
      <c r="H84" s="1"/>
      <c r="I84" s="1"/>
      <c r="J84" s="1"/>
      <c r="L84" s="1"/>
      <c r="M84" s="1"/>
      <c r="N84" s="1"/>
      <c r="P84" s="9">
        <v>75000</v>
      </c>
      <c r="Q84" s="8">
        <f>-P84</f>
        <v>-75000</v>
      </c>
      <c r="R84" s="8">
        <f>P84+Q84</f>
        <v>0</v>
      </c>
      <c r="X84" s="8">
        <f t="shared" ref="X84:Z86" si="38">D84+H84+L84+P84+T84</f>
        <v>75000</v>
      </c>
      <c r="Y84" s="8">
        <f t="shared" si="38"/>
        <v>-75000</v>
      </c>
      <c r="Z84" s="8">
        <f t="shared" si="38"/>
        <v>0</v>
      </c>
    </row>
    <row r="85" spans="2:26" ht="15.75" thickBot="1" x14ac:dyDescent="0.3">
      <c r="B85" s="2" t="s">
        <v>97</v>
      </c>
      <c r="C85" s="6" t="s">
        <v>25</v>
      </c>
      <c r="H85" s="14">
        <v>35000</v>
      </c>
      <c r="I85" s="15">
        <f>-H85</f>
        <v>-35000</v>
      </c>
      <c r="J85" s="15">
        <f>H85+I85</f>
        <v>0</v>
      </c>
      <c r="X85" s="15">
        <f t="shared" si="38"/>
        <v>35000</v>
      </c>
      <c r="Y85" s="15">
        <f t="shared" si="38"/>
        <v>-35000</v>
      </c>
      <c r="Z85" s="15">
        <f t="shared" si="38"/>
        <v>0</v>
      </c>
    </row>
    <row r="86" spans="2:26" x14ac:dyDescent="0.25">
      <c r="B86" s="2" t="s">
        <v>164</v>
      </c>
      <c r="C86" s="2"/>
      <c r="D86" s="26">
        <f>SUM(D82:D85)</f>
        <v>0</v>
      </c>
      <c r="E86" s="26">
        <f>SUM(E82:E85)</f>
        <v>0</v>
      </c>
      <c r="F86" s="26">
        <f>D86+E86</f>
        <v>0</v>
      </c>
      <c r="H86" s="26">
        <f>SUM(H82:H85)</f>
        <v>35000</v>
      </c>
      <c r="I86" s="26">
        <f>SUM(I82:I85)</f>
        <v>-35000</v>
      </c>
      <c r="J86" s="26">
        <f>H86+I86</f>
        <v>0</v>
      </c>
      <c r="L86" s="26">
        <f>SUM(L82:L85)</f>
        <v>75000</v>
      </c>
      <c r="M86" s="26">
        <f>SUM(M82:M85)</f>
        <v>-75000</v>
      </c>
      <c r="N86" s="26">
        <f>L86+M86</f>
        <v>0</v>
      </c>
      <c r="P86" s="26">
        <f>SUM(P82:P85)</f>
        <v>494013</v>
      </c>
      <c r="Q86" s="26">
        <f>SUM(Q82:Q85)</f>
        <v>-520013</v>
      </c>
      <c r="R86" s="26">
        <f>P86+Q86</f>
        <v>-26000</v>
      </c>
      <c r="S86" s="1"/>
      <c r="T86" s="26">
        <f>SUM(T82:T85)</f>
        <v>26000</v>
      </c>
      <c r="U86" s="26">
        <f>SUM(U82:U85)</f>
        <v>0</v>
      </c>
      <c r="V86" s="26">
        <f>T86+U86</f>
        <v>26000</v>
      </c>
      <c r="X86" s="26">
        <f t="shared" si="38"/>
        <v>630013</v>
      </c>
      <c r="Y86" s="26">
        <f t="shared" si="38"/>
        <v>-630013</v>
      </c>
      <c r="Z86" s="26">
        <f t="shared" si="38"/>
        <v>0</v>
      </c>
    </row>
    <row r="87" spans="2:26" x14ac:dyDescent="0.25">
      <c r="B87" s="2"/>
      <c r="C87" s="2"/>
    </row>
    <row r="88" spans="2:26" x14ac:dyDescent="0.25">
      <c r="B88" s="2" t="s">
        <v>56</v>
      </c>
      <c r="C88" s="2"/>
      <c r="D88" s="8">
        <f>D79+D86</f>
        <v>0</v>
      </c>
      <c r="E88" s="8">
        <f>E79+E86</f>
        <v>52000</v>
      </c>
      <c r="F88" s="8">
        <f>D88+E88</f>
        <v>52000</v>
      </c>
      <c r="H88" s="8">
        <f>H79+H86</f>
        <v>35000</v>
      </c>
      <c r="I88" s="8">
        <f>I79+I86</f>
        <v>17000</v>
      </c>
      <c r="J88" s="8">
        <f>H88+I88</f>
        <v>52000</v>
      </c>
      <c r="L88" s="8">
        <f>L79+L86</f>
        <v>75000</v>
      </c>
      <c r="M88" s="8">
        <f>M79+M86</f>
        <v>-23000</v>
      </c>
      <c r="N88" s="8">
        <f>L88+M88</f>
        <v>52000</v>
      </c>
      <c r="P88" s="8">
        <f>P79+P86</f>
        <v>494013</v>
      </c>
      <c r="Q88" s="8">
        <f>Q79+Q86</f>
        <v>-156013</v>
      </c>
      <c r="R88" s="8">
        <f>P88+Q88</f>
        <v>338000</v>
      </c>
      <c r="T88" s="8">
        <f>T79+T86</f>
        <v>26000</v>
      </c>
      <c r="U88" s="8">
        <f>U79+U86</f>
        <v>0</v>
      </c>
      <c r="V88" s="8">
        <f>T88+U88</f>
        <v>26000</v>
      </c>
      <c r="X88" s="8">
        <f>D88+H88+L88+P88+T88</f>
        <v>630013</v>
      </c>
      <c r="Y88" s="8">
        <f>E88+I88+M88+Q88+U88</f>
        <v>-110013</v>
      </c>
      <c r="Z88" s="8">
        <f>F88+J88+N88+R88+V88</f>
        <v>520000</v>
      </c>
    </row>
    <row r="89" spans="2:26" x14ac:dyDescent="0.25">
      <c r="B89" s="2"/>
      <c r="C89" s="2"/>
    </row>
    <row r="91" spans="2:26" x14ac:dyDescent="0.25">
      <c r="D91" t="s">
        <v>72</v>
      </c>
    </row>
    <row r="92" spans="2:26" x14ac:dyDescent="0.25">
      <c r="D92" s="2"/>
    </row>
    <row r="93" spans="2:26" x14ac:dyDescent="0.25">
      <c r="D93" s="2" t="s">
        <v>58</v>
      </c>
      <c r="E93" t="s">
        <v>59</v>
      </c>
    </row>
    <row r="94" spans="2:26" x14ac:dyDescent="0.25">
      <c r="E94" t="s">
        <v>69</v>
      </c>
    </row>
    <row r="95" spans="2:26" x14ac:dyDescent="0.25">
      <c r="E95" t="s">
        <v>68</v>
      </c>
    </row>
    <row r="96" spans="2:26" x14ac:dyDescent="0.25">
      <c r="E96" t="s">
        <v>116</v>
      </c>
    </row>
    <row r="98" spans="4:18" x14ac:dyDescent="0.25">
      <c r="D98" s="2" t="s">
        <v>60</v>
      </c>
      <c r="E98" t="s">
        <v>61</v>
      </c>
    </row>
    <row r="99" spans="4:18" x14ac:dyDescent="0.25">
      <c r="E99" t="s">
        <v>70</v>
      </c>
    </row>
    <row r="100" spans="4:18" x14ac:dyDescent="0.25">
      <c r="E100" t="s">
        <v>71</v>
      </c>
    </row>
    <row r="101" spans="4:18" x14ac:dyDescent="0.25">
      <c r="E101" s="2" t="s">
        <v>62</v>
      </c>
      <c r="F101" t="s">
        <v>63</v>
      </c>
    </row>
    <row r="102" spans="4:18" x14ac:dyDescent="0.25">
      <c r="E102" s="2" t="s">
        <v>64</v>
      </c>
      <c r="F102" t="s">
        <v>65</v>
      </c>
    </row>
    <row r="103" spans="4:18" x14ac:dyDescent="0.25">
      <c r="E103" s="2" t="s">
        <v>66</v>
      </c>
      <c r="F103" t="s">
        <v>67</v>
      </c>
    </row>
    <row r="107" spans="4:18" x14ac:dyDescent="0.25">
      <c r="D107" t="s">
        <v>115</v>
      </c>
    </row>
    <row r="109" spans="4:18" x14ac:dyDescent="0.25">
      <c r="D109" s="36" t="s">
        <v>3</v>
      </c>
      <c r="E109" s="36"/>
      <c r="F109" s="36"/>
      <c r="H109" s="36" t="s">
        <v>4</v>
      </c>
      <c r="I109" s="36"/>
      <c r="J109" s="36"/>
      <c r="L109" s="36" t="s">
        <v>2</v>
      </c>
      <c r="M109" s="36"/>
      <c r="N109" s="36"/>
      <c r="P109" s="36" t="s">
        <v>13</v>
      </c>
      <c r="Q109" s="36"/>
      <c r="R109" s="36"/>
    </row>
    <row r="110" spans="4:18" x14ac:dyDescent="0.25">
      <c r="D110" s="6"/>
      <c r="E110" s="6"/>
      <c r="F110" s="6"/>
      <c r="H110" s="6"/>
      <c r="I110" s="6"/>
      <c r="J110" s="6"/>
    </row>
    <row r="111" spans="4:18" x14ac:dyDescent="0.25">
      <c r="E111" s="6" t="s">
        <v>110</v>
      </c>
      <c r="F111" s="6" t="s">
        <v>111</v>
      </c>
      <c r="I111" s="6" t="s">
        <v>110</v>
      </c>
      <c r="J111" s="6" t="s">
        <v>111</v>
      </c>
      <c r="M111" s="6" t="s">
        <v>110</v>
      </c>
      <c r="N111" s="6" t="s">
        <v>111</v>
      </c>
      <c r="Q111" s="6" t="s">
        <v>110</v>
      </c>
      <c r="R111" s="6" t="s">
        <v>111</v>
      </c>
    </row>
    <row r="112" spans="4:18" x14ac:dyDescent="0.25">
      <c r="E112" s="6"/>
      <c r="F112" s="6"/>
    </row>
    <row r="113" spans="5:18" x14ac:dyDescent="0.25">
      <c r="E113" s="2" t="s">
        <v>480</v>
      </c>
      <c r="F113" s="9">
        <f>25000-17545.2</f>
        <v>7454.7999999999993</v>
      </c>
      <c r="I113" s="2" t="s">
        <v>112</v>
      </c>
      <c r="J113" s="9">
        <f>91350</f>
        <v>91350</v>
      </c>
      <c r="M113" s="2" t="s">
        <v>84</v>
      </c>
      <c r="N113" s="9">
        <v>8650</v>
      </c>
      <c r="Q113" s="2" t="s">
        <v>80</v>
      </c>
      <c r="R113" s="9">
        <v>287365</v>
      </c>
    </row>
    <row r="114" spans="5:18" x14ac:dyDescent="0.25">
      <c r="E114" s="2" t="s">
        <v>514</v>
      </c>
      <c r="F114" s="14">
        <v>7334.05</v>
      </c>
      <c r="I114" s="2" t="s">
        <v>602</v>
      </c>
      <c r="J114" s="9">
        <v>1762</v>
      </c>
      <c r="M114" s="2" t="s">
        <v>525</v>
      </c>
      <c r="N114" s="14">
        <v>603.27</v>
      </c>
      <c r="Q114" s="2" t="s">
        <v>567</v>
      </c>
      <c r="R114" s="9">
        <v>19248.34</v>
      </c>
    </row>
    <row r="115" spans="5:18" x14ac:dyDescent="0.25">
      <c r="E115" s="2" t="s">
        <v>113</v>
      </c>
      <c r="F115" s="13">
        <f>SUM(F113:F114)</f>
        <v>14788.849999999999</v>
      </c>
      <c r="I115" s="2" t="s">
        <v>481</v>
      </c>
      <c r="J115" s="9">
        <f>5216.78+77.25</f>
        <v>5294.03</v>
      </c>
      <c r="M115" s="2" t="s">
        <v>113</v>
      </c>
      <c r="N115" s="13">
        <f>SUM(N113:N114)</f>
        <v>9253.27</v>
      </c>
      <c r="Q115" s="2" t="s">
        <v>539</v>
      </c>
      <c r="R115" s="14">
        <f>16528+31372</f>
        <v>47900</v>
      </c>
    </row>
    <row r="116" spans="5:18" x14ac:dyDescent="0.25">
      <c r="I116" s="2" t="s">
        <v>603</v>
      </c>
      <c r="J116" s="14">
        <v>4500</v>
      </c>
      <c r="Q116" s="2" t="s">
        <v>113</v>
      </c>
      <c r="R116" s="13">
        <f>SUM(R113:R115)</f>
        <v>354513.34</v>
      </c>
    </row>
    <row r="117" spans="5:18" x14ac:dyDescent="0.25">
      <c r="I117" s="2" t="s">
        <v>113</v>
      </c>
      <c r="J117" s="13">
        <f>SUM(J113:J116)</f>
        <v>102906.03</v>
      </c>
      <c r="Q117" s="2"/>
    </row>
  </sheetData>
  <mergeCells count="11">
    <mergeCell ref="X4:Z4"/>
    <mergeCell ref="T4:V4"/>
    <mergeCell ref="D109:F109"/>
    <mergeCell ref="H109:J109"/>
    <mergeCell ref="L109:N109"/>
    <mergeCell ref="P109:R109"/>
    <mergeCell ref="A74:B7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2:Z110"/>
  <sheetViews>
    <sheetView workbookViewId="0">
      <pane xSplit="2" ySplit="6" topLeftCell="C42" activePane="bottomRight" state="frozen"/>
      <selection activeCell="C9" sqref="C9"/>
      <selection pane="topRight" activeCell="C9" sqref="C9"/>
      <selection pane="bottomLeft" activeCell="C9" sqref="C9"/>
      <selection pane="bottomRight" activeCell="A74" sqref="A74"/>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474</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475</v>
      </c>
      <c r="D7" s="9">
        <f>'FY08'!D67</f>
        <v>39885.5</v>
      </c>
      <c r="E7" s="9">
        <f>'FY08'!E67</f>
        <v>199444.58</v>
      </c>
      <c r="F7" s="8">
        <f>D7+E7</f>
        <v>239330.08</v>
      </c>
      <c r="H7" s="9">
        <f>'FY08'!H67</f>
        <v>83500</v>
      </c>
      <c r="I7" s="9">
        <f>'FY08'!I67</f>
        <v>90244.58</v>
      </c>
      <c r="J7" s="8">
        <f>H7+I7</f>
        <v>173744.58000000002</v>
      </c>
      <c r="L7" s="9">
        <f>'FY08'!L67</f>
        <v>4305.75</v>
      </c>
      <c r="M7" s="9">
        <f>'FY08'!M67</f>
        <v>21045.33</v>
      </c>
      <c r="N7" s="8">
        <f>L7+M7</f>
        <v>25351.08</v>
      </c>
      <c r="P7" s="9">
        <f>'FY08'!P67</f>
        <v>76208.34</v>
      </c>
      <c r="Q7" s="9">
        <f>'FY08'!Q67</f>
        <v>501261.54</v>
      </c>
      <c r="R7" s="8">
        <f>P7+Q7</f>
        <v>577469.88</v>
      </c>
      <c r="S7" s="1"/>
      <c r="T7" s="9">
        <v>0</v>
      </c>
      <c r="U7" s="9">
        <v>0</v>
      </c>
      <c r="V7" s="8">
        <f>T7+U7</f>
        <v>0</v>
      </c>
      <c r="X7" s="8">
        <f>D7+H7+L7+P7+T7</f>
        <v>203899.59</v>
      </c>
      <c r="Y7" s="8">
        <f>E7+I7+M7+Q7+U7</f>
        <v>811996.03</v>
      </c>
      <c r="Z7" s="8">
        <f>F7+J7+N7+R7+V7</f>
        <v>1015895.6200000001</v>
      </c>
    </row>
    <row r="9" spans="2:26" x14ac:dyDescent="0.25">
      <c r="B9" s="5" t="s">
        <v>11</v>
      </c>
      <c r="Y9" s="1"/>
      <c r="Z9" s="1"/>
    </row>
    <row r="10" spans="2:26" x14ac:dyDescent="0.25">
      <c r="B10" s="2" t="s">
        <v>744</v>
      </c>
      <c r="D10" s="9">
        <v>0</v>
      </c>
      <c r="E10" s="9">
        <f>ROUND(515220.46/10,2)</f>
        <v>51522.05</v>
      </c>
      <c r="F10" s="8">
        <f>D10+E10</f>
        <v>51522.05</v>
      </c>
      <c r="H10" s="9">
        <v>0</v>
      </c>
      <c r="I10" s="9">
        <f>ROUND(515220.46/10,2)</f>
        <v>51522.05</v>
      </c>
      <c r="J10" s="8">
        <f>H10+I10</f>
        <v>51522.05</v>
      </c>
      <c r="L10" s="9">
        <v>0</v>
      </c>
      <c r="M10" s="9">
        <f>ROUND(515220.46/10,2)</f>
        <v>51522.05</v>
      </c>
      <c r="N10" s="8">
        <f>L10+M10</f>
        <v>51522.05</v>
      </c>
      <c r="P10" s="9">
        <v>0</v>
      </c>
      <c r="Q10" s="9">
        <f>515220.46-E10-I10-M10</f>
        <v>360654.31000000006</v>
      </c>
      <c r="R10" s="8">
        <f>P10+Q10</f>
        <v>360654.31000000006</v>
      </c>
      <c r="S10" s="1"/>
      <c r="T10" s="1"/>
      <c r="U10" s="1"/>
      <c r="V10" s="1"/>
      <c r="X10" s="8">
        <f t="shared" ref="X10:Z15" si="0">D10+H10+L10+P10+T10</f>
        <v>0</v>
      </c>
      <c r="Y10" s="8">
        <f t="shared" si="0"/>
        <v>515220.46000000008</v>
      </c>
      <c r="Z10" s="8">
        <f t="shared" si="0"/>
        <v>515220.46000000008</v>
      </c>
    </row>
    <row r="11" spans="2:26" x14ac:dyDescent="0.25">
      <c r="B11" s="2" t="s">
        <v>5</v>
      </c>
      <c r="D11" s="9">
        <v>0</v>
      </c>
      <c r="E11" s="9">
        <f>ROUND(1299.24/10,2)</f>
        <v>129.91999999999999</v>
      </c>
      <c r="F11" s="8">
        <f>D11+E11</f>
        <v>129.91999999999999</v>
      </c>
      <c r="H11" s="9">
        <v>0</v>
      </c>
      <c r="I11" s="9">
        <f>ROUND(1299.24/10,2)</f>
        <v>129.91999999999999</v>
      </c>
      <c r="J11" s="8">
        <f>H11+I11</f>
        <v>129.91999999999999</v>
      </c>
      <c r="L11" s="9">
        <v>0</v>
      </c>
      <c r="M11" s="9">
        <f>ROUND(1299.24/10,2)</f>
        <v>129.91999999999999</v>
      </c>
      <c r="N11" s="8">
        <f>L11+M11</f>
        <v>129.91999999999999</v>
      </c>
      <c r="P11" s="9">
        <v>0</v>
      </c>
      <c r="Q11" s="9">
        <f>1299.24-E11-I11-M11</f>
        <v>909.4799999999999</v>
      </c>
      <c r="R11" s="8">
        <f>P11+Q11</f>
        <v>909.4799999999999</v>
      </c>
      <c r="S11" s="1"/>
      <c r="T11" s="1"/>
      <c r="U11" s="1"/>
      <c r="V11" s="1"/>
      <c r="X11" s="8">
        <f t="shared" si="0"/>
        <v>0</v>
      </c>
      <c r="Y11" s="8">
        <f t="shared" si="0"/>
        <v>1299.2399999999998</v>
      </c>
      <c r="Z11" s="8">
        <f t="shared" si="0"/>
        <v>1299.2399999999998</v>
      </c>
    </row>
    <row r="12" spans="2:26" x14ac:dyDescent="0.25">
      <c r="B12" s="2" t="s">
        <v>650</v>
      </c>
      <c r="D12" s="9">
        <v>0</v>
      </c>
      <c r="E12" s="9">
        <f>435948/10</f>
        <v>43594.8</v>
      </c>
      <c r="F12" s="8">
        <f>D12+E12</f>
        <v>43594.8</v>
      </c>
      <c r="H12" s="9">
        <v>0</v>
      </c>
      <c r="I12" s="9">
        <f>435948/10</f>
        <v>43594.8</v>
      </c>
      <c r="J12" s="8">
        <f>H12+I12</f>
        <v>43594.8</v>
      </c>
      <c r="L12" s="9">
        <v>0</v>
      </c>
      <c r="M12" s="9">
        <f>435948/10</f>
        <v>43594.8</v>
      </c>
      <c r="N12" s="8">
        <f>L12+M12</f>
        <v>43594.8</v>
      </c>
      <c r="P12" s="9">
        <v>0</v>
      </c>
      <c r="Q12" s="9">
        <f>435948-E12-I12-M12</f>
        <v>305163.60000000003</v>
      </c>
      <c r="R12" s="8">
        <f>P12+Q12</f>
        <v>305163.60000000003</v>
      </c>
      <c r="S12" s="1"/>
      <c r="T12" s="1"/>
      <c r="U12" s="1"/>
      <c r="V12" s="1"/>
      <c r="X12" s="8">
        <f t="shared" si="0"/>
        <v>0</v>
      </c>
      <c r="Y12" s="8">
        <f t="shared" si="0"/>
        <v>435948.00000000006</v>
      </c>
      <c r="Z12" s="8">
        <f t="shared" si="0"/>
        <v>435948.00000000006</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476</v>
      </c>
      <c r="D14" s="14">
        <v>0</v>
      </c>
      <c r="E14" s="14">
        <f>ROUND(13153.46/10,2)</f>
        <v>1315.35</v>
      </c>
      <c r="F14" s="15">
        <f>D14+E14</f>
        <v>1315.35</v>
      </c>
      <c r="H14" s="14">
        <v>0</v>
      </c>
      <c r="I14" s="14">
        <f>ROUND(13153.46/10,2)</f>
        <v>1315.35</v>
      </c>
      <c r="J14" s="15">
        <f>H14+I14</f>
        <v>1315.35</v>
      </c>
      <c r="L14" s="14">
        <v>0</v>
      </c>
      <c r="M14" s="14">
        <f>ROUND(13153.46/10,2)</f>
        <v>1315.35</v>
      </c>
      <c r="N14" s="15">
        <f>L14+M14</f>
        <v>1315.35</v>
      </c>
      <c r="P14" s="14">
        <v>0</v>
      </c>
      <c r="Q14" s="14">
        <f>13153.46-E14-I14-M14</f>
        <v>9207.409999999998</v>
      </c>
      <c r="R14" s="15">
        <f>P14+Q14</f>
        <v>9207.409999999998</v>
      </c>
      <c r="S14" s="1"/>
      <c r="T14" s="3"/>
      <c r="U14" s="3"/>
      <c r="V14" s="3"/>
      <c r="X14" s="15">
        <f t="shared" si="0"/>
        <v>0</v>
      </c>
      <c r="Y14" s="15">
        <f t="shared" si="0"/>
        <v>13153.459999999997</v>
      </c>
      <c r="Z14" s="15">
        <f t="shared" si="0"/>
        <v>13153.459999999997</v>
      </c>
    </row>
    <row r="15" spans="2:26" x14ac:dyDescent="0.25">
      <c r="B15" s="2" t="s">
        <v>28</v>
      </c>
      <c r="D15" s="26">
        <f>SUM(D10:D14)</f>
        <v>0</v>
      </c>
      <c r="E15" s="26">
        <f>SUM(E10:E14)</f>
        <v>96562.12000000001</v>
      </c>
      <c r="F15" s="26">
        <f>D15+E15</f>
        <v>96562.12000000001</v>
      </c>
      <c r="H15" s="26">
        <f>SUM(H10:H14)</f>
        <v>0</v>
      </c>
      <c r="I15" s="26">
        <f>SUM(I10:I14)</f>
        <v>96562.12000000001</v>
      </c>
      <c r="J15" s="26">
        <f>H15+I15</f>
        <v>96562.12000000001</v>
      </c>
      <c r="L15" s="26">
        <f>SUM(L10:L14)</f>
        <v>0</v>
      </c>
      <c r="M15" s="26">
        <f>SUM(M10:M14)</f>
        <v>96562.12000000001</v>
      </c>
      <c r="N15" s="26">
        <f>L15+M15</f>
        <v>96562.12000000001</v>
      </c>
      <c r="P15" s="26">
        <f>SUM(P10:P14)</f>
        <v>0</v>
      </c>
      <c r="Q15" s="26">
        <f>SUM(Q10:Q14)</f>
        <v>675934.80000000016</v>
      </c>
      <c r="R15" s="26">
        <f>P15+Q15</f>
        <v>675934.80000000016</v>
      </c>
      <c r="S15" s="1"/>
      <c r="T15" s="26">
        <f>SUM(T10:T14)</f>
        <v>0</v>
      </c>
      <c r="U15" s="26">
        <f>SUM(U10:U14)</f>
        <v>0</v>
      </c>
      <c r="V15" s="26">
        <f>T15+U15</f>
        <v>0</v>
      </c>
      <c r="X15" s="26">
        <f t="shared" si="0"/>
        <v>0</v>
      </c>
      <c r="Y15" s="26">
        <f t="shared" si="0"/>
        <v>965621.16000000015</v>
      </c>
      <c r="Z15" s="26">
        <f t="shared" si="0"/>
        <v>965621.16000000015</v>
      </c>
    </row>
    <row r="16" spans="2:26" x14ac:dyDescent="0.25">
      <c r="D16" s="1"/>
      <c r="E16" s="1"/>
      <c r="F16" s="1"/>
      <c r="H16" s="1"/>
      <c r="I16" s="1"/>
      <c r="J16" s="1"/>
      <c r="L16" s="1"/>
      <c r="M16" s="1"/>
      <c r="N16" s="1"/>
      <c r="P16" s="1"/>
      <c r="Q16" s="1"/>
      <c r="R16" s="1"/>
      <c r="S16" s="1"/>
      <c r="T16" s="1"/>
      <c r="U16" s="1"/>
      <c r="V16" s="1"/>
    </row>
    <row r="17" spans="2:26" x14ac:dyDescent="0.25">
      <c r="B17" s="5" t="s">
        <v>477</v>
      </c>
      <c r="F17" s="1"/>
      <c r="H17" s="1"/>
      <c r="I17" s="1"/>
      <c r="J17" s="1"/>
      <c r="L17" s="1"/>
      <c r="M17" s="1"/>
      <c r="N17" s="1"/>
      <c r="P17" s="1"/>
      <c r="Q17" s="1"/>
      <c r="R17" s="1"/>
      <c r="S17" s="1"/>
      <c r="T17" s="1"/>
      <c r="U17" s="1"/>
      <c r="V17" s="1"/>
    </row>
    <row r="18" spans="2:26" x14ac:dyDescent="0.25">
      <c r="B18" s="2" t="s">
        <v>88</v>
      </c>
      <c r="D18" s="1"/>
      <c r="E18" s="1"/>
      <c r="F18" s="1"/>
      <c r="H18" s="1"/>
      <c r="I18" s="1"/>
      <c r="J18" s="1"/>
      <c r="M18" s="1"/>
      <c r="N18" s="1"/>
      <c r="P18" s="9">
        <v>0</v>
      </c>
      <c r="Q18" s="8">
        <f>-T18</f>
        <v>-42500</v>
      </c>
      <c r="R18" s="8">
        <f>P18+Q18</f>
        <v>-42500</v>
      </c>
      <c r="S18" s="1"/>
      <c r="T18" s="9">
        <v>42500</v>
      </c>
      <c r="U18" s="9">
        <v>0</v>
      </c>
      <c r="V18" s="8">
        <f>T18+U18</f>
        <v>42500</v>
      </c>
      <c r="X18" s="8">
        <f t="shared" ref="X18:Z20" si="8">D18+H18+L18+P18+T18</f>
        <v>42500</v>
      </c>
      <c r="Y18" s="8">
        <f t="shared" si="8"/>
        <v>-42500</v>
      </c>
      <c r="Z18" s="8">
        <f t="shared" si="8"/>
        <v>0</v>
      </c>
    </row>
    <row r="19" spans="2:26" ht="15.75" thickBot="1" x14ac:dyDescent="0.3">
      <c r="B19" s="2" t="s">
        <v>478</v>
      </c>
      <c r="C19" s="6" t="s">
        <v>17</v>
      </c>
      <c r="D19" s="3"/>
      <c r="E19" s="3"/>
      <c r="F19" s="3"/>
      <c r="H19" s="3"/>
      <c r="I19" s="3"/>
      <c r="J19" s="3"/>
      <c r="L19" s="14">
        <v>95000</v>
      </c>
      <c r="M19" s="15">
        <f>-L19</f>
        <v>-95000</v>
      </c>
      <c r="N19" s="15">
        <f>L19+M19</f>
        <v>0</v>
      </c>
      <c r="P19" s="14">
        <f>493412.5-L19 + 125000 + 4910.07</f>
        <v>528322.56999999995</v>
      </c>
      <c r="Q19" s="15">
        <f>-P19</f>
        <v>-528322.56999999995</v>
      </c>
      <c r="R19" s="15">
        <f>P19+Q19</f>
        <v>0</v>
      </c>
      <c r="S19" s="1"/>
      <c r="T19" s="3"/>
      <c r="U19" s="3"/>
      <c r="V19" s="3"/>
      <c r="X19" s="15">
        <f t="shared" si="8"/>
        <v>623322.56999999995</v>
      </c>
      <c r="Y19" s="15">
        <f t="shared" si="8"/>
        <v>-623322.56999999995</v>
      </c>
      <c r="Z19" s="15">
        <f t="shared" si="8"/>
        <v>0</v>
      </c>
    </row>
    <row r="20" spans="2:26" x14ac:dyDescent="0.25">
      <c r="B20" s="2" t="s">
        <v>479</v>
      </c>
      <c r="D20" s="26">
        <f>SUM(D18:D19)</f>
        <v>0</v>
      </c>
      <c r="E20" s="26">
        <f>SUM(E18:E19)</f>
        <v>0</v>
      </c>
      <c r="F20" s="26">
        <f>D20+E20</f>
        <v>0</v>
      </c>
      <c r="H20" s="26">
        <f>SUM(H18:H19)</f>
        <v>0</v>
      </c>
      <c r="I20" s="26">
        <f>SUM(I18:I19)</f>
        <v>0</v>
      </c>
      <c r="J20" s="26">
        <f>H20+I20</f>
        <v>0</v>
      </c>
      <c r="L20" s="26">
        <f>SUM(L18:L19)</f>
        <v>95000</v>
      </c>
      <c r="M20" s="26">
        <f>SUM(M18:M19)</f>
        <v>-95000</v>
      </c>
      <c r="N20" s="26">
        <f>L20+M20</f>
        <v>0</v>
      </c>
      <c r="P20" s="26">
        <f>SUM(P18:P19)</f>
        <v>528322.56999999995</v>
      </c>
      <c r="Q20" s="26">
        <f>SUM(Q18:Q19)</f>
        <v>-570822.56999999995</v>
      </c>
      <c r="R20" s="26">
        <f>P20+Q20</f>
        <v>-42500</v>
      </c>
      <c r="S20" s="1"/>
      <c r="T20" s="26">
        <f>SUM(T18:T19)</f>
        <v>42500</v>
      </c>
      <c r="U20" s="26">
        <f>SUM(U18:U19)</f>
        <v>0</v>
      </c>
      <c r="V20" s="26">
        <f>T20+U20</f>
        <v>42500</v>
      </c>
      <c r="X20" s="26">
        <f t="shared" si="8"/>
        <v>665822.56999999995</v>
      </c>
      <c r="Y20" s="26">
        <f t="shared" si="8"/>
        <v>-665822.56999999995</v>
      </c>
      <c r="Z20" s="26">
        <f t="shared" si="8"/>
        <v>0</v>
      </c>
    </row>
    <row r="21" spans="2:26" x14ac:dyDescent="0.25">
      <c r="F21" s="1"/>
      <c r="H21" s="1"/>
      <c r="I21" s="1"/>
      <c r="J21" s="1"/>
      <c r="L21" s="1"/>
      <c r="M21" s="1"/>
      <c r="N21" s="1"/>
      <c r="P21" s="1"/>
      <c r="Q21" s="1"/>
      <c r="R21" s="1"/>
      <c r="S21" s="1"/>
      <c r="T21" s="1"/>
      <c r="U21" s="1"/>
      <c r="V21" s="1"/>
    </row>
    <row r="22" spans="2:26" x14ac:dyDescent="0.25">
      <c r="B22" s="5" t="s">
        <v>8</v>
      </c>
      <c r="H22" s="1"/>
      <c r="I22" s="1"/>
      <c r="J22" s="1"/>
      <c r="L22" s="1"/>
      <c r="M22" s="1"/>
      <c r="N22" s="1"/>
      <c r="O22" s="1"/>
      <c r="P22" s="1"/>
      <c r="Q22" s="1"/>
      <c r="R22" s="1"/>
      <c r="S22" s="1"/>
      <c r="T22" s="1"/>
      <c r="U22" s="1"/>
      <c r="V22" s="1"/>
    </row>
    <row r="23" spans="2:26" x14ac:dyDescent="0.25">
      <c r="B23" s="2" t="s">
        <v>7</v>
      </c>
      <c r="D23" s="1"/>
      <c r="E23" s="1"/>
      <c r="F23" s="1"/>
      <c r="H23" s="1"/>
      <c r="I23" s="1"/>
      <c r="J23" s="1"/>
      <c r="L23" s="1"/>
      <c r="M23" s="1"/>
      <c r="N23" s="1"/>
      <c r="P23" s="1"/>
      <c r="Q23" s="1"/>
      <c r="R23" s="1"/>
      <c r="S23" s="1"/>
      <c r="T23" s="9">
        <v>-4345.6400000000003</v>
      </c>
      <c r="U23" s="9">
        <v>0</v>
      </c>
      <c r="V23" s="8">
        <f>T23+U23</f>
        <v>-4345.6400000000003</v>
      </c>
      <c r="X23" s="8">
        <f t="shared" ref="X23:Z37" si="9">D23+H23+L23+P23+T23</f>
        <v>-4345.6400000000003</v>
      </c>
      <c r="Y23" s="8">
        <f t="shared" si="9"/>
        <v>0</v>
      </c>
      <c r="Z23" s="8">
        <f t="shared" si="9"/>
        <v>-4345.6400000000003</v>
      </c>
    </row>
    <row r="24" spans="2:26" x14ac:dyDescent="0.25">
      <c r="B24" s="2" t="s">
        <v>77</v>
      </c>
      <c r="S24" s="1"/>
      <c r="T24" s="9">
        <v>-2903.67</v>
      </c>
      <c r="U24" s="9">
        <v>0</v>
      </c>
      <c r="V24" s="8">
        <f>T24+U24</f>
        <v>-2903.67</v>
      </c>
      <c r="X24" s="8">
        <f>D24+H24+L24+P24+T24</f>
        <v>-2903.67</v>
      </c>
      <c r="Y24" s="8">
        <f t="shared" si="9"/>
        <v>0</v>
      </c>
      <c r="Z24" s="8">
        <f t="shared" si="9"/>
        <v>-2903.67</v>
      </c>
    </row>
    <row r="25" spans="2:26" x14ac:dyDescent="0.25">
      <c r="B25" s="2" t="s">
        <v>567</v>
      </c>
      <c r="C25" s="6" t="s">
        <v>16</v>
      </c>
      <c r="P25" s="9">
        <v>0</v>
      </c>
      <c r="Q25" s="9">
        <v>0</v>
      </c>
      <c r="R25" s="8">
        <f>P25+Q25</f>
        <v>0</v>
      </c>
      <c r="S25" s="1"/>
      <c r="X25" s="8">
        <f t="shared" ref="X25" si="10">D25+H25+L25+P25+T25</f>
        <v>0</v>
      </c>
      <c r="Y25" s="8">
        <f t="shared" si="9"/>
        <v>0</v>
      </c>
      <c r="Z25" s="8">
        <f t="shared" si="9"/>
        <v>0</v>
      </c>
    </row>
    <row r="26" spans="2:26" x14ac:dyDescent="0.25">
      <c r="B26" s="2" t="s">
        <v>478</v>
      </c>
      <c r="C26" s="6" t="s">
        <v>17</v>
      </c>
      <c r="H26" s="1"/>
      <c r="I26" s="1"/>
      <c r="J26" s="1"/>
      <c r="L26" s="9">
        <v>-95000</v>
      </c>
      <c r="M26" s="9">
        <v>0</v>
      </c>
      <c r="N26" s="8">
        <f>L26+M26</f>
        <v>-95000</v>
      </c>
      <c r="P26" s="9">
        <f>-493412.5 - L26  - 125000 - 4910.07</f>
        <v>-528322.56999999995</v>
      </c>
      <c r="Q26" s="9">
        <v>0</v>
      </c>
      <c r="R26" s="8">
        <f>P26+Q26</f>
        <v>-528322.56999999995</v>
      </c>
      <c r="X26" s="8">
        <f t="shared" si="9"/>
        <v>-623322.56999999995</v>
      </c>
      <c r="Y26" s="8">
        <f t="shared" si="9"/>
        <v>0</v>
      </c>
      <c r="Z26" s="8">
        <f t="shared" si="9"/>
        <v>-623322.56999999995</v>
      </c>
    </row>
    <row r="27" spans="2:26" x14ac:dyDescent="0.25">
      <c r="B27" s="2" t="s">
        <v>481</v>
      </c>
      <c r="C27" s="6" t="s">
        <v>90</v>
      </c>
      <c r="H27" s="9">
        <v>-13205.97</v>
      </c>
      <c r="I27" s="9">
        <v>0</v>
      </c>
      <c r="J27" s="8">
        <f>H27+I27</f>
        <v>-13205.97</v>
      </c>
      <c r="P27" s="1"/>
      <c r="Q27" s="1"/>
      <c r="R27" s="1"/>
      <c r="S27" s="1"/>
      <c r="X27" s="15">
        <f t="shared" si="9"/>
        <v>-13205.97</v>
      </c>
      <c r="Y27" s="15">
        <f t="shared" si="9"/>
        <v>0</v>
      </c>
      <c r="Z27" s="15">
        <f t="shared" si="9"/>
        <v>-13205.97</v>
      </c>
    </row>
    <row r="28" spans="2:26" x14ac:dyDescent="0.25">
      <c r="B28" s="2" t="s">
        <v>535</v>
      </c>
      <c r="C28" s="6" t="s">
        <v>536</v>
      </c>
      <c r="L28" s="9">
        <v>-2000</v>
      </c>
      <c r="M28" s="9">
        <v>0</v>
      </c>
      <c r="N28" s="8">
        <f>L28+M28</f>
        <v>-2000</v>
      </c>
      <c r="P28" s="1"/>
      <c r="Q28" s="1"/>
      <c r="R28" s="1"/>
      <c r="S28" s="1"/>
      <c r="X28" s="15">
        <f t="shared" si="9"/>
        <v>-2000</v>
      </c>
      <c r="Y28" s="15">
        <f t="shared" si="9"/>
        <v>0</v>
      </c>
      <c r="Z28" s="15">
        <f t="shared" si="9"/>
        <v>-2000</v>
      </c>
    </row>
    <row r="29" spans="2:26" x14ac:dyDescent="0.25">
      <c r="B29" s="2" t="s">
        <v>525</v>
      </c>
      <c r="C29" s="6" t="s">
        <v>92</v>
      </c>
      <c r="L29" s="9">
        <v>-294.39999999999998</v>
      </c>
      <c r="M29" s="9">
        <v>0</v>
      </c>
      <c r="N29" s="8">
        <f>L29+M29</f>
        <v>-294.39999999999998</v>
      </c>
      <c r="P29" s="1"/>
      <c r="Q29" s="1"/>
      <c r="R29" s="1"/>
      <c r="S29" s="1"/>
      <c r="X29" s="15">
        <f t="shared" si="9"/>
        <v>-294.39999999999998</v>
      </c>
      <c r="Y29" s="15">
        <f t="shared" si="9"/>
        <v>0</v>
      </c>
      <c r="Z29" s="15">
        <f t="shared" si="9"/>
        <v>-294.39999999999998</v>
      </c>
    </row>
    <row r="30" spans="2:26" x14ac:dyDescent="0.25">
      <c r="B30" s="2" t="s">
        <v>539</v>
      </c>
      <c r="C30" s="6" t="s">
        <v>18</v>
      </c>
      <c r="D30" s="1"/>
      <c r="E30" s="1"/>
      <c r="F30" s="1"/>
      <c r="H30" s="1"/>
      <c r="I30" s="1"/>
      <c r="J30" s="1"/>
      <c r="L30" s="1"/>
      <c r="M30" s="1"/>
      <c r="N30" s="1"/>
      <c r="P30" s="9">
        <v>-2100</v>
      </c>
      <c r="Q30" s="9">
        <v>0</v>
      </c>
      <c r="R30" s="8">
        <f>P30+Q30</f>
        <v>-2100</v>
      </c>
      <c r="S30" s="1"/>
      <c r="T30" s="1"/>
      <c r="U30" s="1"/>
      <c r="V30" s="1"/>
      <c r="X30" s="8">
        <f t="shared" si="9"/>
        <v>-2100</v>
      </c>
      <c r="Y30" s="8">
        <f t="shared" si="9"/>
        <v>0</v>
      </c>
      <c r="Z30" s="8">
        <f t="shared" si="9"/>
        <v>-2100</v>
      </c>
    </row>
    <row r="31" spans="2:26" x14ac:dyDescent="0.25">
      <c r="B31" s="24" t="s">
        <v>602</v>
      </c>
      <c r="C31" s="6" t="s">
        <v>506</v>
      </c>
      <c r="D31" s="1"/>
      <c r="E31" s="1"/>
      <c r="F31" s="1"/>
      <c r="H31" s="9">
        <v>-32238</v>
      </c>
      <c r="I31" s="9">
        <v>0</v>
      </c>
      <c r="J31" s="8">
        <f>H31+I31</f>
        <v>-32238</v>
      </c>
      <c r="L31" s="1"/>
      <c r="M31" s="1"/>
      <c r="N31" s="1"/>
      <c r="T31" s="1"/>
      <c r="U31" s="1"/>
      <c r="V31" s="1"/>
      <c r="X31" s="8">
        <f t="shared" si="9"/>
        <v>-32238</v>
      </c>
      <c r="Y31" s="8">
        <f t="shared" si="9"/>
        <v>0</v>
      </c>
      <c r="Z31" s="8">
        <f t="shared" si="9"/>
        <v>-32238</v>
      </c>
    </row>
    <row r="32" spans="2:26" x14ac:dyDescent="0.25">
      <c r="B32" s="24" t="s">
        <v>507</v>
      </c>
      <c r="C32" s="6" t="s">
        <v>508</v>
      </c>
      <c r="D32" s="1"/>
      <c r="E32" s="1"/>
      <c r="F32" s="1"/>
      <c r="H32" s="9">
        <v>-20000</v>
      </c>
      <c r="I32" s="9">
        <v>0</v>
      </c>
      <c r="J32" s="8">
        <f>H32+I32</f>
        <v>-20000</v>
      </c>
      <c r="L32" s="1"/>
      <c r="M32" s="1"/>
      <c r="N32" s="1"/>
      <c r="T32" s="1"/>
      <c r="U32" s="1"/>
      <c r="V32" s="1"/>
      <c r="X32" s="8">
        <f t="shared" ref="X32" si="11">D32+H32+L32+P32+T32</f>
        <v>-20000</v>
      </c>
      <c r="Y32" s="8">
        <f t="shared" ref="Y32" si="12">E32+I32+M32+Q32+U32</f>
        <v>0</v>
      </c>
      <c r="Z32" s="8">
        <f t="shared" ref="Z32" si="13">F32+J32+N32+R32+V32</f>
        <v>-20000</v>
      </c>
    </row>
    <row r="33" spans="2:26" x14ac:dyDescent="0.25">
      <c r="B33" s="2" t="s">
        <v>603</v>
      </c>
      <c r="C33" s="6" t="s">
        <v>93</v>
      </c>
      <c r="D33" s="1"/>
      <c r="E33" s="1"/>
      <c r="F33" s="1"/>
      <c r="H33" s="9">
        <v>-6500</v>
      </c>
      <c r="I33" s="9">
        <v>0</v>
      </c>
      <c r="J33" s="8">
        <f>H33+I33</f>
        <v>-6500</v>
      </c>
      <c r="L33" s="1"/>
      <c r="M33" s="1"/>
      <c r="N33" s="1"/>
      <c r="X33" s="8">
        <f t="shared" si="9"/>
        <v>-6500</v>
      </c>
      <c r="Y33" s="8">
        <f t="shared" si="9"/>
        <v>0</v>
      </c>
      <c r="Z33" s="8">
        <f t="shared" si="9"/>
        <v>-6500</v>
      </c>
    </row>
    <row r="34" spans="2:26" x14ac:dyDescent="0.25">
      <c r="B34" s="2" t="s">
        <v>512</v>
      </c>
      <c r="C34" s="6" t="s">
        <v>513</v>
      </c>
      <c r="D34" s="1"/>
      <c r="E34" s="1"/>
      <c r="F34" s="1"/>
      <c r="L34" s="1"/>
      <c r="M34" s="1"/>
      <c r="N34" s="1"/>
      <c r="P34" s="9">
        <f>-4810-1150</f>
        <v>-5960</v>
      </c>
      <c r="Q34" s="9">
        <v>0</v>
      </c>
      <c r="R34" s="8">
        <f>P34+Q34</f>
        <v>-5960</v>
      </c>
      <c r="X34" s="8">
        <f t="shared" ref="X34" si="14">D34+H34+L34+P34+T34</f>
        <v>-5960</v>
      </c>
      <c r="Y34" s="8">
        <f t="shared" ref="Y34" si="15">E34+I34+M34+Q34+U34</f>
        <v>0</v>
      </c>
      <c r="Z34" s="8">
        <f t="shared" ref="Z34" si="16">F34+J34+N34+R34+V34</f>
        <v>-5960</v>
      </c>
    </row>
    <row r="35" spans="2:26" x14ac:dyDescent="0.25">
      <c r="B35" s="2" t="s">
        <v>514</v>
      </c>
      <c r="C35" s="6" t="s">
        <v>40</v>
      </c>
      <c r="D35" s="9">
        <f>-7551.45</f>
        <v>-7551.45</v>
      </c>
      <c r="E35" s="9">
        <v>0</v>
      </c>
      <c r="F35" s="8">
        <f>D35+E35</f>
        <v>-7551.45</v>
      </c>
      <c r="H35" s="1"/>
      <c r="I35" s="1"/>
      <c r="J35" s="1"/>
      <c r="L35" s="1"/>
      <c r="M35" s="1"/>
      <c r="N35" s="1"/>
      <c r="X35" s="8">
        <f t="shared" si="9"/>
        <v>-7551.45</v>
      </c>
      <c r="Y35" s="8">
        <f t="shared" si="9"/>
        <v>0</v>
      </c>
      <c r="Z35" s="8">
        <f t="shared" si="9"/>
        <v>-7551.45</v>
      </c>
    </row>
    <row r="36" spans="2:26" ht="15.75" thickBot="1" x14ac:dyDescent="0.3">
      <c r="B36" s="2" t="s">
        <v>480</v>
      </c>
      <c r="C36" s="6" t="s">
        <v>19</v>
      </c>
      <c r="D36" s="9">
        <v>-17545.2</v>
      </c>
      <c r="E36" s="9">
        <v>0</v>
      </c>
      <c r="F36" s="8">
        <f>D36+E36</f>
        <v>-17545.2</v>
      </c>
      <c r="H36" s="1"/>
      <c r="I36" s="1"/>
      <c r="J36" s="1"/>
      <c r="L36" s="1"/>
      <c r="M36" s="1"/>
      <c r="N36" s="1"/>
      <c r="X36" s="8">
        <f t="shared" si="9"/>
        <v>-17545.2</v>
      </c>
      <c r="Y36" s="8">
        <f t="shared" si="9"/>
        <v>0</v>
      </c>
      <c r="Z36" s="8">
        <f t="shared" si="9"/>
        <v>-17545.2</v>
      </c>
    </row>
    <row r="37" spans="2:26" x14ac:dyDescent="0.25">
      <c r="B37" s="2" t="s">
        <v>31</v>
      </c>
      <c r="D37" s="26">
        <f>SUM(D23:D36)</f>
        <v>-25096.65</v>
      </c>
      <c r="E37" s="26">
        <f>SUM(E23:E36)</f>
        <v>0</v>
      </c>
      <c r="F37" s="26">
        <f>D37+E37</f>
        <v>-25096.65</v>
      </c>
      <c r="H37" s="26">
        <f>SUM(H23:H36)</f>
        <v>-71943.97</v>
      </c>
      <c r="I37" s="26">
        <f>SUM(I23:I36)</f>
        <v>0</v>
      </c>
      <c r="J37" s="26">
        <f>H37+I37</f>
        <v>-71943.97</v>
      </c>
      <c r="L37" s="26">
        <f>SUM(L23:L36)</f>
        <v>-97294.399999999994</v>
      </c>
      <c r="M37" s="26">
        <f>SUM(M23:M36)</f>
        <v>0</v>
      </c>
      <c r="N37" s="26">
        <f>L37+M37</f>
        <v>-97294.399999999994</v>
      </c>
      <c r="P37" s="26">
        <f>SUM(P23:P36)</f>
        <v>-536382.56999999995</v>
      </c>
      <c r="Q37" s="26">
        <f>SUM(Q23:Q36)</f>
        <v>0</v>
      </c>
      <c r="R37" s="26">
        <f>P37+Q37</f>
        <v>-536382.56999999995</v>
      </c>
      <c r="S37" s="1"/>
      <c r="T37" s="26">
        <f>SUM(T23:T36)</f>
        <v>-7249.31</v>
      </c>
      <c r="U37" s="26">
        <f>SUM(U23:U36)</f>
        <v>0</v>
      </c>
      <c r="V37" s="26">
        <f>T37+U37</f>
        <v>-7249.31</v>
      </c>
      <c r="X37" s="26">
        <f t="shared" si="9"/>
        <v>-737966.9</v>
      </c>
      <c r="Y37" s="26">
        <f t="shared" si="9"/>
        <v>0</v>
      </c>
      <c r="Z37" s="26">
        <f t="shared" si="9"/>
        <v>-737966.9</v>
      </c>
    </row>
    <row r="39" spans="2:26" x14ac:dyDescent="0.25">
      <c r="B39" s="5" t="s">
        <v>10</v>
      </c>
      <c r="D39" s="1"/>
      <c r="L39" s="1"/>
      <c r="M39" s="1"/>
      <c r="N39" s="1"/>
      <c r="P39" s="1"/>
      <c r="Q39" s="1"/>
      <c r="R39" s="1"/>
      <c r="S39" s="1"/>
      <c r="T39" s="1"/>
      <c r="U39" s="1"/>
      <c r="V39" s="1"/>
    </row>
    <row r="40" spans="2:26" x14ac:dyDescent="0.25">
      <c r="B40" s="2" t="s">
        <v>79</v>
      </c>
      <c r="L40" s="1"/>
      <c r="M40" s="1"/>
      <c r="N40" s="1"/>
      <c r="P40" s="9">
        <v>0</v>
      </c>
      <c r="Q40" s="8">
        <f>-T40</f>
        <v>35250.69</v>
      </c>
      <c r="R40" s="8">
        <f>P40+Q40</f>
        <v>35250.69</v>
      </c>
      <c r="S40" s="1"/>
      <c r="T40" s="1">
        <f>-42500+7249.31</f>
        <v>-35250.69</v>
      </c>
      <c r="U40" s="9">
        <v>0</v>
      </c>
      <c r="V40" s="8">
        <f>T40+U40</f>
        <v>-35250.69</v>
      </c>
      <c r="X40" s="8">
        <f t="shared" ref="X40:X42" si="17">D40+H40+L40+P40+T40</f>
        <v>-35250.69</v>
      </c>
      <c r="Y40" s="8">
        <f t="shared" ref="Y40:Y42" si="18">E40+I40+M40+Q40+U40</f>
        <v>35250.69</v>
      </c>
      <c r="Z40" s="8">
        <f t="shared" ref="Z40:Z42" si="19">F40+J40+N40+R40+V40</f>
        <v>0</v>
      </c>
    </row>
    <row r="41" spans="2:26" x14ac:dyDescent="0.25">
      <c r="B41" s="2" t="s">
        <v>535</v>
      </c>
      <c r="C41" s="6" t="s">
        <v>536</v>
      </c>
      <c r="L41" s="9">
        <v>-1330</v>
      </c>
      <c r="M41" s="8">
        <f>-L41</f>
        <v>1330</v>
      </c>
      <c r="N41" s="8">
        <f>L41+M41</f>
        <v>0</v>
      </c>
      <c r="S41" s="1"/>
      <c r="X41" s="8">
        <f t="shared" si="17"/>
        <v>-1330</v>
      </c>
      <c r="Y41" s="8">
        <f t="shared" si="18"/>
        <v>1330</v>
      </c>
      <c r="Z41" s="8">
        <f t="shared" si="19"/>
        <v>0</v>
      </c>
    </row>
    <row r="42" spans="2:26" x14ac:dyDescent="0.25">
      <c r="B42" s="2" t="s">
        <v>509</v>
      </c>
      <c r="C42" s="6" t="s">
        <v>510</v>
      </c>
      <c r="L42" s="9">
        <v>-78.08</v>
      </c>
      <c r="M42" s="8">
        <f>-L42</f>
        <v>78.08</v>
      </c>
      <c r="N42" s="8">
        <f>L42+M42</f>
        <v>0</v>
      </c>
      <c r="S42" s="1"/>
      <c r="X42" s="8">
        <f t="shared" si="17"/>
        <v>-78.08</v>
      </c>
      <c r="Y42" s="8">
        <f t="shared" si="18"/>
        <v>78.08</v>
      </c>
      <c r="Z42" s="8">
        <f t="shared" si="19"/>
        <v>0</v>
      </c>
    </row>
    <row r="43" spans="2:26" ht="15.75" thickBot="1" x14ac:dyDescent="0.3">
      <c r="B43" s="2" t="s">
        <v>512</v>
      </c>
      <c r="C43" s="6" t="s">
        <v>513</v>
      </c>
      <c r="P43" s="9">
        <v>-1000</v>
      </c>
      <c r="Q43" s="8">
        <f>-P43</f>
        <v>1000</v>
      </c>
      <c r="R43" s="8">
        <f>P43+Q43</f>
        <v>0</v>
      </c>
      <c r="S43" s="1"/>
      <c r="X43" s="8">
        <f t="shared" ref="X43:Z44" si="20">D43+H43+L43+P43+T43</f>
        <v>-1000</v>
      </c>
      <c r="Y43" s="8">
        <f t="shared" si="20"/>
        <v>1000</v>
      </c>
      <c r="Z43" s="8">
        <f t="shared" si="20"/>
        <v>0</v>
      </c>
    </row>
    <row r="44" spans="2:26" x14ac:dyDescent="0.25">
      <c r="B44" s="2" t="s">
        <v>32</v>
      </c>
      <c r="D44" s="26">
        <f>SUM(D40:D43)</f>
        <v>0</v>
      </c>
      <c r="E44" s="26">
        <f>SUM(E40:E43)</f>
        <v>0</v>
      </c>
      <c r="F44" s="26">
        <f>D44+E44</f>
        <v>0</v>
      </c>
      <c r="H44" s="26">
        <f>SUM(H40:H43)</f>
        <v>0</v>
      </c>
      <c r="I44" s="26">
        <f>SUM(I40:I43)</f>
        <v>0</v>
      </c>
      <c r="J44" s="26">
        <f>SUM(J39:J43)</f>
        <v>0</v>
      </c>
      <c r="L44" s="26">
        <f>SUM(L40:L43)</f>
        <v>-1408.08</v>
      </c>
      <c r="M44" s="26">
        <f>SUM(M40:M43)</f>
        <v>1408.08</v>
      </c>
      <c r="N44" s="26">
        <f>L44+M44</f>
        <v>0</v>
      </c>
      <c r="P44" s="26">
        <f>SUM(P40:P43)</f>
        <v>-1000</v>
      </c>
      <c r="Q44" s="26">
        <f>SUM(Q40:Q43)</f>
        <v>36250.69</v>
      </c>
      <c r="R44" s="26">
        <f>P44+Q44</f>
        <v>35250.69</v>
      </c>
      <c r="S44" s="1"/>
      <c r="T44" s="26">
        <f>SUM(T40:T43)</f>
        <v>-35250.69</v>
      </c>
      <c r="U44" s="26">
        <f>SUM(U40:U43)</f>
        <v>0</v>
      </c>
      <c r="V44" s="26">
        <f>T44+U44</f>
        <v>-35250.69</v>
      </c>
      <c r="X44" s="26">
        <f t="shared" si="20"/>
        <v>-37658.770000000004</v>
      </c>
      <c r="Y44" s="26">
        <f t="shared" si="20"/>
        <v>37658.770000000004</v>
      </c>
      <c r="Z44" s="26">
        <f t="shared" si="20"/>
        <v>0</v>
      </c>
    </row>
    <row r="45" spans="2:26" x14ac:dyDescent="0.25">
      <c r="B45" s="2"/>
      <c r="D45" s="1"/>
      <c r="E45" s="1"/>
      <c r="F45" s="1"/>
      <c r="H45" s="1"/>
      <c r="L45" s="1"/>
      <c r="M45" s="1"/>
      <c r="N45" s="1"/>
    </row>
    <row r="46" spans="2:26" x14ac:dyDescent="0.25">
      <c r="B46" s="2" t="s">
        <v>482</v>
      </c>
      <c r="D46" s="8">
        <f>D7+D15+D20+D37+D44</f>
        <v>14788.849999999999</v>
      </c>
      <c r="E46" s="8">
        <f>E7+E15+E20+E37+E44</f>
        <v>296006.7</v>
      </c>
      <c r="F46" s="8">
        <f>D46+E46</f>
        <v>310795.55</v>
      </c>
      <c r="H46" s="8">
        <f>H7+H15+H20+H37+H44</f>
        <v>11556.029999999999</v>
      </c>
      <c r="I46" s="8">
        <f>I7+I15+I20+I37+I44</f>
        <v>186806.7</v>
      </c>
      <c r="J46" s="8">
        <f>H46+I46</f>
        <v>198362.73</v>
      </c>
      <c r="L46" s="8">
        <f>L7+L15+L20+L37+L44</f>
        <v>603.27000000000589</v>
      </c>
      <c r="M46" s="8">
        <f>M7+M15+M20+M37+M44</f>
        <v>24015.530000000013</v>
      </c>
      <c r="N46" s="8">
        <f>L46+M46</f>
        <v>24618.800000000017</v>
      </c>
      <c r="P46" s="8">
        <f>P7+P15+P20+P37+P44</f>
        <v>67148.339999999967</v>
      </c>
      <c r="Q46" s="8">
        <f>Q7+Q15+Q20+Q37+Q44</f>
        <v>642624.4600000002</v>
      </c>
      <c r="R46" s="8">
        <f>P46+Q46</f>
        <v>709772.80000000016</v>
      </c>
      <c r="T46" s="8">
        <f>T7+T15+T20+T37+T44</f>
        <v>0</v>
      </c>
      <c r="U46" s="8">
        <f>U7+U15+U20+U37+U44</f>
        <v>0</v>
      </c>
      <c r="V46" s="8">
        <f>T46+U46</f>
        <v>0</v>
      </c>
      <c r="X46" s="8">
        <f>D46+H46+L46+P46+T46</f>
        <v>94096.489999999962</v>
      </c>
      <c r="Y46" s="8">
        <f>E46+I46+M46+Q46+U46</f>
        <v>1149453.3900000001</v>
      </c>
      <c r="Z46" s="8">
        <f>F46+J46+N46+R46+V46</f>
        <v>1243549.8800000004</v>
      </c>
    </row>
    <row r="47" spans="2:26" x14ac:dyDescent="0.25">
      <c r="B47" s="2"/>
      <c r="D47" s="1"/>
      <c r="E47" s="1"/>
      <c r="F47" s="1"/>
      <c r="H47" s="1"/>
      <c r="L47" s="1"/>
      <c r="M47" s="1"/>
      <c r="N47" s="1"/>
    </row>
    <row r="48" spans="2:26" x14ac:dyDescent="0.25">
      <c r="B48" s="5" t="s">
        <v>483</v>
      </c>
    </row>
    <row r="49" spans="1:26" x14ac:dyDescent="0.25">
      <c r="B49" s="2" t="s">
        <v>52</v>
      </c>
      <c r="L49" s="1"/>
      <c r="M49" s="1"/>
      <c r="N49" s="1"/>
      <c r="P49" s="9">
        <v>0</v>
      </c>
      <c r="Q49" s="8">
        <f>-P49</f>
        <v>0</v>
      </c>
      <c r="R49" s="8">
        <f>P49+Q49</f>
        <v>0</v>
      </c>
      <c r="X49" s="8">
        <f t="shared" ref="X49:Z53" si="21">D49+H49+L49+P49+T49</f>
        <v>0</v>
      </c>
      <c r="Y49" s="8">
        <f t="shared" si="21"/>
        <v>0</v>
      </c>
      <c r="Z49" s="8">
        <f t="shared" si="21"/>
        <v>0</v>
      </c>
    </row>
    <row r="50" spans="1:26" x14ac:dyDescent="0.25">
      <c r="B50" s="2" t="s">
        <v>80</v>
      </c>
      <c r="C50" s="6" t="s">
        <v>17</v>
      </c>
      <c r="L50" s="9">
        <v>0</v>
      </c>
      <c r="M50" s="8">
        <f>-L50</f>
        <v>0</v>
      </c>
      <c r="N50" s="8">
        <f>L50+M50</f>
        <v>0</v>
      </c>
      <c r="P50" s="9">
        <v>287365</v>
      </c>
      <c r="Q50" s="8">
        <f>-P50</f>
        <v>-287365</v>
      </c>
      <c r="R50" s="8">
        <f>P50+Q50</f>
        <v>0</v>
      </c>
      <c r="S50" s="1"/>
      <c r="X50" s="15">
        <f t="shared" ref="X50:X51" si="22">D50+H50+L50+P50+T50</f>
        <v>287365</v>
      </c>
      <c r="Y50" s="15">
        <f t="shared" ref="Y50:Y51" si="23">E50+I50+M50+Q50+U50</f>
        <v>-287365</v>
      </c>
      <c r="Z50" s="15">
        <f t="shared" ref="Z50:Z51" si="24">F50+J50+N50+R50+V50</f>
        <v>0</v>
      </c>
    </row>
    <row r="51" spans="1:26" x14ac:dyDescent="0.25">
      <c r="B51" s="2" t="s">
        <v>112</v>
      </c>
      <c r="C51" s="6" t="s">
        <v>22</v>
      </c>
      <c r="H51" s="9">
        <v>91350</v>
      </c>
      <c r="I51" s="8">
        <f>-H51</f>
        <v>-91350</v>
      </c>
      <c r="J51" s="8">
        <f>H51+I51</f>
        <v>0</v>
      </c>
      <c r="S51" s="1"/>
      <c r="T51" s="1"/>
      <c r="U51" s="1"/>
      <c r="V51" s="1"/>
      <c r="X51" s="15">
        <f t="shared" si="22"/>
        <v>91350</v>
      </c>
      <c r="Y51" s="15">
        <f t="shared" si="23"/>
        <v>-91350</v>
      </c>
      <c r="Z51" s="15">
        <f t="shared" si="24"/>
        <v>0</v>
      </c>
    </row>
    <row r="52" spans="1:26" ht="15.75" thickBot="1" x14ac:dyDescent="0.3">
      <c r="B52" s="2" t="s">
        <v>84</v>
      </c>
      <c r="C52" s="6" t="s">
        <v>96</v>
      </c>
      <c r="L52" s="9">
        <v>8650</v>
      </c>
      <c r="M52" s="8">
        <f>-L52</f>
        <v>-8650</v>
      </c>
      <c r="N52" s="8">
        <f>L52+M52</f>
        <v>0</v>
      </c>
      <c r="S52" s="1"/>
      <c r="T52" s="1"/>
      <c r="U52" s="1"/>
      <c r="V52" s="1"/>
      <c r="X52" s="15">
        <f t="shared" si="21"/>
        <v>8650</v>
      </c>
      <c r="Y52" s="15">
        <f t="shared" si="21"/>
        <v>-8650</v>
      </c>
      <c r="Z52" s="15">
        <f t="shared" si="21"/>
        <v>0</v>
      </c>
    </row>
    <row r="53" spans="1:26" x14ac:dyDescent="0.25">
      <c r="B53" s="2" t="s">
        <v>484</v>
      </c>
      <c r="D53" s="26">
        <f>SUM(D49:D52)</f>
        <v>0</v>
      </c>
      <c r="E53" s="26">
        <f>SUM(E49:E52)</f>
        <v>0</v>
      </c>
      <c r="F53" s="26">
        <f>D53+E53</f>
        <v>0</v>
      </c>
      <c r="H53" s="26">
        <f>SUM(H49:H52)</f>
        <v>91350</v>
      </c>
      <c r="I53" s="26">
        <f>SUM(I49:I52)</f>
        <v>-91350</v>
      </c>
      <c r="J53" s="26">
        <f>H53+I53</f>
        <v>0</v>
      </c>
      <c r="L53" s="26">
        <f>SUM(L49:L52)</f>
        <v>8650</v>
      </c>
      <c r="M53" s="26">
        <f>SUM(M49:M52)</f>
        <v>-8650</v>
      </c>
      <c r="N53" s="26">
        <f>L53+M53</f>
        <v>0</v>
      </c>
      <c r="P53" s="26">
        <f>SUM(P49:P52)</f>
        <v>287365</v>
      </c>
      <c r="Q53" s="26">
        <f>SUM(Q49:Q52)</f>
        <v>-287365</v>
      </c>
      <c r="R53" s="26">
        <f>P53+Q53</f>
        <v>0</v>
      </c>
      <c r="S53" s="1"/>
      <c r="T53" s="26">
        <f>SUM(T49:T52)</f>
        <v>0</v>
      </c>
      <c r="U53" s="26">
        <f>SUM(U49:U52)</f>
        <v>0</v>
      </c>
      <c r="V53" s="26">
        <f>T53+U53</f>
        <v>0</v>
      </c>
      <c r="X53" s="26">
        <f t="shared" si="21"/>
        <v>387365</v>
      </c>
      <c r="Y53" s="26">
        <f t="shared" si="21"/>
        <v>-387365</v>
      </c>
      <c r="Z53" s="26">
        <f t="shared" si="21"/>
        <v>0</v>
      </c>
    </row>
    <row r="54" spans="1:26" x14ac:dyDescent="0.25">
      <c r="L54" s="1"/>
      <c r="M54" s="1"/>
      <c r="N54" s="1"/>
      <c r="P54" s="1"/>
      <c r="Q54" s="1"/>
      <c r="R54" s="1"/>
      <c r="S54" s="1"/>
      <c r="T54" s="1"/>
      <c r="U54" s="1"/>
      <c r="V54" s="1"/>
      <c r="X54" s="1"/>
      <c r="Y54" s="1"/>
      <c r="Z54" s="1"/>
    </row>
    <row r="55" spans="1:26" ht="15.75" thickBot="1" x14ac:dyDescent="0.3">
      <c r="B55" s="2" t="s">
        <v>485</v>
      </c>
      <c r="D55" s="17">
        <f>ROUND(D46+D53,2)</f>
        <v>14788.85</v>
      </c>
      <c r="E55" s="17">
        <f>ROUND(E46+E53,2)</f>
        <v>296006.7</v>
      </c>
      <c r="F55" s="17">
        <f>D55+E55</f>
        <v>310795.55</v>
      </c>
      <c r="H55" s="17">
        <f>ROUND(H46+H53,2)</f>
        <v>102906.03</v>
      </c>
      <c r="I55" s="17">
        <f>ROUND(I46+I53,2)</f>
        <v>95456.7</v>
      </c>
      <c r="J55" s="17">
        <f>H55+I55</f>
        <v>198362.72999999998</v>
      </c>
      <c r="L55" s="17">
        <f>ROUND(L46+L53,2)</f>
        <v>9253.27</v>
      </c>
      <c r="M55" s="17">
        <f>ROUND(M46+M53,2)</f>
        <v>15365.53</v>
      </c>
      <c r="N55" s="17">
        <f>L55+M55</f>
        <v>24618.800000000003</v>
      </c>
      <c r="P55" s="17">
        <f>ROUND(P46+P53,2)</f>
        <v>354513.34</v>
      </c>
      <c r="Q55" s="17">
        <f>ROUND(Q46+Q53,2)</f>
        <v>355259.46</v>
      </c>
      <c r="R55" s="17">
        <f>P55+Q55</f>
        <v>709772.80000000005</v>
      </c>
      <c r="T55" s="17">
        <f>ROUND(T46+T53,2)</f>
        <v>0</v>
      </c>
      <c r="U55" s="17">
        <f>ROUND(U46+U53,2)</f>
        <v>0</v>
      </c>
      <c r="V55" s="17">
        <f>T55+U55</f>
        <v>0</v>
      </c>
      <c r="X55" s="17">
        <f>D55+H55+L55+P55+T55</f>
        <v>481461.49000000005</v>
      </c>
      <c r="Y55" s="17">
        <f>E55+I55+M55+Q55+U55</f>
        <v>762088.39000000013</v>
      </c>
      <c r="Z55" s="17">
        <f>F55+J55+N55+R55+V55</f>
        <v>1243549.8799999999</v>
      </c>
    </row>
    <row r="56" spans="1:26" ht="15.75" thickTop="1" x14ac:dyDescent="0.25"/>
    <row r="57" spans="1:26" x14ac:dyDescent="0.25">
      <c r="I57" s="1"/>
      <c r="L57" s="1"/>
    </row>
    <row r="58" spans="1:26" x14ac:dyDescent="0.25">
      <c r="A58" s="35" t="s">
        <v>54</v>
      </c>
      <c r="B58" s="35"/>
      <c r="H58" s="1"/>
      <c r="M58" s="1"/>
    </row>
    <row r="60" spans="1:26" x14ac:dyDescent="0.25">
      <c r="B60" s="5" t="s">
        <v>486</v>
      </c>
    </row>
    <row r="61" spans="1:26" x14ac:dyDescent="0.25">
      <c r="B61" s="2" t="s">
        <v>745</v>
      </c>
      <c r="D61" s="9">
        <v>0</v>
      </c>
      <c r="E61" s="9">
        <f>500000/10</f>
        <v>50000</v>
      </c>
      <c r="F61" s="8">
        <f>D61+E61</f>
        <v>50000</v>
      </c>
      <c r="H61" s="9">
        <v>0</v>
      </c>
      <c r="I61" s="9">
        <f>500000/10</f>
        <v>50000</v>
      </c>
      <c r="J61" s="8">
        <f>H61+I61</f>
        <v>50000</v>
      </c>
      <c r="L61" s="9">
        <v>0</v>
      </c>
      <c r="M61" s="9">
        <f>500000/10</f>
        <v>50000</v>
      </c>
      <c r="N61" s="8">
        <f>L61+M61</f>
        <v>50000</v>
      </c>
      <c r="P61" s="9">
        <v>0</v>
      </c>
      <c r="Q61" s="9">
        <f>500000-E61-I61-M61</f>
        <v>350000</v>
      </c>
      <c r="R61" s="8">
        <f>P61+Q61</f>
        <v>350000</v>
      </c>
      <c r="T61" s="1"/>
      <c r="U61" s="1"/>
      <c r="V61" s="1"/>
      <c r="X61" s="8">
        <f t="shared" ref="X61:Z63" si="25">D61+H61+L61+P61+T61</f>
        <v>0</v>
      </c>
      <c r="Y61" s="8">
        <f t="shared" si="25"/>
        <v>500000</v>
      </c>
      <c r="Z61" s="8">
        <f t="shared" si="25"/>
        <v>500000</v>
      </c>
    </row>
    <row r="62" spans="1:26" ht="15.75" thickBot="1" x14ac:dyDescent="0.3">
      <c r="B62" s="2" t="s">
        <v>487</v>
      </c>
      <c r="D62" s="14">
        <v>0</v>
      </c>
      <c r="E62" s="14">
        <f>200000/10</f>
        <v>20000</v>
      </c>
      <c r="F62" s="15">
        <f>D62+E62</f>
        <v>20000</v>
      </c>
      <c r="H62" s="14">
        <v>0</v>
      </c>
      <c r="I62" s="14">
        <f>200000/10</f>
        <v>20000</v>
      </c>
      <c r="J62" s="15">
        <f>H62+I62</f>
        <v>20000</v>
      </c>
      <c r="L62" s="14">
        <v>0</v>
      </c>
      <c r="M62" s="14">
        <f>200000/10</f>
        <v>20000</v>
      </c>
      <c r="N62" s="15">
        <f>L62+M62</f>
        <v>20000</v>
      </c>
      <c r="P62" s="14">
        <v>0</v>
      </c>
      <c r="Q62" s="14">
        <f>200000-E62-I62-M62</f>
        <v>140000</v>
      </c>
      <c r="R62" s="15">
        <f>P62+Q62</f>
        <v>140000</v>
      </c>
      <c r="X62" s="15">
        <f t="shared" si="25"/>
        <v>0</v>
      </c>
      <c r="Y62" s="15">
        <f t="shared" si="25"/>
        <v>200000</v>
      </c>
      <c r="Z62" s="15">
        <f t="shared" si="25"/>
        <v>200000</v>
      </c>
    </row>
    <row r="63" spans="1:26" x14ac:dyDescent="0.25">
      <c r="B63" s="2" t="s">
        <v>488</v>
      </c>
      <c r="D63" s="26">
        <f>SUM(D61:D62)</f>
        <v>0</v>
      </c>
      <c r="E63" s="26">
        <f>SUM(E61:E62)</f>
        <v>70000</v>
      </c>
      <c r="F63" s="26">
        <f>D63+E63</f>
        <v>70000</v>
      </c>
      <c r="H63" s="26">
        <f>SUM(H61:H62)</f>
        <v>0</v>
      </c>
      <c r="I63" s="26">
        <f>SUM(I61:I62)</f>
        <v>70000</v>
      </c>
      <c r="J63" s="26">
        <f>H63+I63</f>
        <v>70000</v>
      </c>
      <c r="L63" s="26">
        <f>SUM(L61:L62)</f>
        <v>0</v>
      </c>
      <c r="M63" s="26">
        <f>SUM(M61:M62)</f>
        <v>70000</v>
      </c>
      <c r="N63" s="26">
        <f>L63+M63</f>
        <v>70000</v>
      </c>
      <c r="P63" s="26">
        <f>SUM(P61:P62)</f>
        <v>0</v>
      </c>
      <c r="Q63" s="26">
        <f>SUM(Q61:Q62)</f>
        <v>490000</v>
      </c>
      <c r="R63" s="26">
        <f>P63+Q63</f>
        <v>490000</v>
      </c>
      <c r="S63" s="1"/>
      <c r="T63" s="26">
        <f>SUM(T61:T62)</f>
        <v>0</v>
      </c>
      <c r="U63" s="26">
        <f>SUM(U61:U62)</f>
        <v>0</v>
      </c>
      <c r="V63" s="26">
        <f>T63+U63</f>
        <v>0</v>
      </c>
      <c r="X63" s="26">
        <f t="shared" si="25"/>
        <v>0</v>
      </c>
      <c r="Y63" s="26">
        <f t="shared" si="25"/>
        <v>700000</v>
      </c>
      <c r="Z63" s="26">
        <f t="shared" si="25"/>
        <v>700000</v>
      </c>
    </row>
    <row r="64" spans="1:26" x14ac:dyDescent="0.25">
      <c r="B64" s="2"/>
    </row>
    <row r="65" spans="2:26" x14ac:dyDescent="0.25">
      <c r="B65" s="5" t="s">
        <v>489</v>
      </c>
      <c r="Q65" s="1"/>
    </row>
    <row r="66" spans="2:26" x14ac:dyDescent="0.25">
      <c r="B66" s="2" t="s">
        <v>87</v>
      </c>
      <c r="H66" s="1"/>
      <c r="I66" s="1"/>
      <c r="J66" s="1"/>
      <c r="L66" s="1"/>
      <c r="M66" s="1"/>
      <c r="N66" s="1"/>
      <c r="P66" s="9">
        <v>0</v>
      </c>
      <c r="Q66" s="8">
        <f>-T66</f>
        <v>-35000</v>
      </c>
      <c r="R66" s="8">
        <f>P66+Q66</f>
        <v>-35000</v>
      </c>
      <c r="T66" s="9">
        <v>35000</v>
      </c>
      <c r="U66" s="9">
        <v>0</v>
      </c>
      <c r="V66" s="8">
        <f>T66+U66</f>
        <v>35000</v>
      </c>
      <c r="X66" s="8">
        <f t="shared" ref="X66:Z75" si="26">D66+H66+L66+P66+T66</f>
        <v>35000</v>
      </c>
      <c r="Y66" s="8">
        <f t="shared" si="26"/>
        <v>-35000</v>
      </c>
      <c r="Z66" s="8">
        <f t="shared" si="26"/>
        <v>0</v>
      </c>
    </row>
    <row r="67" spans="2:26" x14ac:dyDescent="0.25">
      <c r="B67" s="2" t="s">
        <v>80</v>
      </c>
      <c r="C67" s="6" t="s">
        <v>17</v>
      </c>
      <c r="H67" s="1"/>
      <c r="I67" s="1"/>
      <c r="J67" s="1"/>
      <c r="L67" s="9">
        <v>70000</v>
      </c>
      <c r="M67" s="8">
        <f>-L67</f>
        <v>-70000</v>
      </c>
      <c r="N67" s="8">
        <f>L67+M67</f>
        <v>0</v>
      </c>
      <c r="P67" s="9">
        <f>492213-L67</f>
        <v>422213</v>
      </c>
      <c r="Q67" s="8">
        <f>-P67</f>
        <v>-422213</v>
      </c>
      <c r="R67" s="8">
        <f>P67+Q67</f>
        <v>0</v>
      </c>
      <c r="X67" s="8">
        <f t="shared" ref="X67" si="27">D67+H67+L67+P67+T67</f>
        <v>492213</v>
      </c>
      <c r="Y67" s="8">
        <f t="shared" ref="Y67" si="28">E67+I67+M67+Q67+U67</f>
        <v>-492213</v>
      </c>
      <c r="Z67" s="8">
        <f t="shared" ref="Z67" si="29">F67+J67+N67+R67+V67</f>
        <v>0</v>
      </c>
    </row>
    <row r="68" spans="2:26" x14ac:dyDescent="0.25">
      <c r="B68" s="2" t="s">
        <v>1</v>
      </c>
      <c r="C68" s="6" t="s">
        <v>20</v>
      </c>
      <c r="D68" s="1"/>
      <c r="E68" s="1"/>
      <c r="F68" s="1"/>
      <c r="H68" s="1"/>
      <c r="I68" s="1"/>
      <c r="J68" s="1"/>
      <c r="L68" s="1"/>
      <c r="M68" s="1"/>
      <c r="N68" s="1"/>
      <c r="P68" s="9">
        <v>148152</v>
      </c>
      <c r="Q68" s="8">
        <f>-P68</f>
        <v>-148152</v>
      </c>
      <c r="R68" s="8">
        <f>P68+Q68</f>
        <v>0</v>
      </c>
      <c r="S68" s="1"/>
      <c r="T68" s="1"/>
      <c r="U68" s="1"/>
      <c r="V68" s="1"/>
      <c r="X68" s="8">
        <f t="shared" si="26"/>
        <v>148152</v>
      </c>
      <c r="Y68" s="8">
        <f t="shared" si="26"/>
        <v>-148152</v>
      </c>
      <c r="Z68" s="8">
        <f t="shared" si="26"/>
        <v>0</v>
      </c>
    </row>
    <row r="69" spans="2:26" x14ac:dyDescent="0.25">
      <c r="B69" s="2" t="s">
        <v>597</v>
      </c>
      <c r="C69" s="6" t="s">
        <v>94</v>
      </c>
      <c r="D69" s="1"/>
      <c r="E69" s="1"/>
      <c r="F69" s="1"/>
      <c r="H69" s="1"/>
      <c r="I69" s="1"/>
      <c r="J69" s="1"/>
      <c r="L69" s="1"/>
      <c r="M69" s="1"/>
      <c r="N69" s="1"/>
      <c r="P69" s="9">
        <v>100000</v>
      </c>
      <c r="Q69" s="8">
        <f>-P69</f>
        <v>-100000</v>
      </c>
      <c r="R69" s="8">
        <f>P69+Q69</f>
        <v>0</v>
      </c>
      <c r="S69" s="1"/>
      <c r="T69" s="1"/>
      <c r="U69" s="1"/>
      <c r="V69" s="1"/>
      <c r="X69" s="8">
        <f t="shared" si="26"/>
        <v>100000</v>
      </c>
      <c r="Y69" s="8">
        <f t="shared" si="26"/>
        <v>-100000</v>
      </c>
      <c r="Z69" s="8">
        <f t="shared" si="26"/>
        <v>0</v>
      </c>
    </row>
    <row r="70" spans="2:26" x14ac:dyDescent="0.25">
      <c r="B70" s="2" t="s">
        <v>9</v>
      </c>
      <c r="C70" s="6" t="s">
        <v>21</v>
      </c>
      <c r="D70" s="1"/>
      <c r="E70" s="1"/>
      <c r="F70" s="1"/>
      <c r="H70" s="9">
        <v>40000</v>
      </c>
      <c r="I70" s="8">
        <f>-H70</f>
        <v>-40000</v>
      </c>
      <c r="J70" s="8">
        <f>H70+I70</f>
        <v>0</v>
      </c>
      <c r="L70" s="1"/>
      <c r="M70" s="1"/>
      <c r="N70" s="1"/>
      <c r="P70" s="1"/>
      <c r="Q70" s="1"/>
      <c r="R70" s="1"/>
      <c r="S70" s="1"/>
      <c r="T70" s="1"/>
      <c r="U70" s="1"/>
      <c r="V70" s="1"/>
      <c r="X70" s="8">
        <f t="shared" si="26"/>
        <v>40000</v>
      </c>
      <c r="Y70" s="8">
        <f t="shared" si="26"/>
        <v>-40000</v>
      </c>
      <c r="Z70" s="8">
        <f t="shared" si="26"/>
        <v>0</v>
      </c>
    </row>
    <row r="71" spans="2:26" x14ac:dyDescent="0.25">
      <c r="B71" s="2" t="s">
        <v>112</v>
      </c>
      <c r="C71" s="6" t="s">
        <v>22</v>
      </c>
      <c r="D71" s="1"/>
      <c r="E71" s="1"/>
      <c r="F71" s="1"/>
      <c r="H71" s="9">
        <f>100000-J157</f>
        <v>100000</v>
      </c>
      <c r="I71" s="8">
        <f>-H71</f>
        <v>-100000</v>
      </c>
      <c r="J71" s="8">
        <f>H71+I71</f>
        <v>0</v>
      </c>
      <c r="L71" s="1"/>
      <c r="M71" s="1"/>
      <c r="N71" s="1"/>
      <c r="P71" s="9">
        <v>37000</v>
      </c>
      <c r="Q71" s="8">
        <f>-P71</f>
        <v>-37000</v>
      </c>
      <c r="R71" s="8">
        <f>P71+Q71</f>
        <v>0</v>
      </c>
      <c r="S71" s="1"/>
      <c r="T71" s="1"/>
      <c r="U71" s="1"/>
      <c r="V71" s="1"/>
      <c r="X71" s="8">
        <f t="shared" si="26"/>
        <v>137000</v>
      </c>
      <c r="Y71" s="8">
        <f t="shared" si="26"/>
        <v>-137000</v>
      </c>
      <c r="Z71" s="8">
        <f t="shared" si="26"/>
        <v>0</v>
      </c>
    </row>
    <row r="72" spans="2:26" x14ac:dyDescent="0.25">
      <c r="B72" s="2" t="s">
        <v>78</v>
      </c>
      <c r="C72" s="6" t="s">
        <v>23</v>
      </c>
      <c r="D72" s="1"/>
      <c r="E72" s="1"/>
      <c r="F72" s="1"/>
      <c r="H72" s="9">
        <v>18500</v>
      </c>
      <c r="I72" s="8">
        <f>-H72</f>
        <v>-18500</v>
      </c>
      <c r="J72" s="8">
        <f>H72+I72</f>
        <v>0</v>
      </c>
      <c r="L72" s="1"/>
      <c r="M72" s="1"/>
      <c r="N72" s="1"/>
      <c r="P72" s="1"/>
      <c r="Q72" s="1"/>
      <c r="R72" s="1"/>
      <c r="S72" s="1"/>
      <c r="T72" s="1"/>
      <c r="U72" s="1"/>
      <c r="V72" s="1"/>
      <c r="X72" s="8">
        <f t="shared" si="26"/>
        <v>18500</v>
      </c>
      <c r="Y72" s="8">
        <f t="shared" si="26"/>
        <v>-18500</v>
      </c>
      <c r="Z72" s="8">
        <f t="shared" si="26"/>
        <v>0</v>
      </c>
    </row>
    <row r="73" spans="2:26" x14ac:dyDescent="0.25">
      <c r="B73" s="2" t="s">
        <v>12</v>
      </c>
      <c r="C73" s="6" t="s">
        <v>95</v>
      </c>
      <c r="D73" s="1"/>
      <c r="E73" s="1"/>
      <c r="F73" s="1"/>
      <c r="H73" s="9">
        <v>2850</v>
      </c>
      <c r="I73" s="8">
        <f>-H73</f>
        <v>-2850</v>
      </c>
      <c r="J73" s="8">
        <f>H73+I73</f>
        <v>0</v>
      </c>
      <c r="L73" s="1"/>
      <c r="M73" s="1"/>
      <c r="N73" s="1"/>
      <c r="P73" s="1"/>
      <c r="Q73" s="1"/>
      <c r="R73" s="1"/>
      <c r="S73" s="1"/>
      <c r="U73" s="1"/>
      <c r="V73" s="1"/>
      <c r="X73" s="8">
        <f t="shared" si="26"/>
        <v>2850</v>
      </c>
      <c r="Y73" s="8">
        <f t="shared" si="26"/>
        <v>-2850</v>
      </c>
      <c r="Z73" s="8">
        <f t="shared" si="26"/>
        <v>0</v>
      </c>
    </row>
    <row r="74" spans="2:26" ht="15.75" thickBot="1" x14ac:dyDescent="0.3">
      <c r="B74" s="2" t="s">
        <v>84</v>
      </c>
      <c r="C74" s="6" t="s">
        <v>96</v>
      </c>
      <c r="D74" s="1"/>
      <c r="E74" s="1"/>
      <c r="F74" s="1"/>
      <c r="H74" s="1"/>
      <c r="I74" s="1"/>
      <c r="J74" s="1"/>
      <c r="L74" s="9">
        <v>8650</v>
      </c>
      <c r="M74" s="8">
        <f>-L74</f>
        <v>-8650</v>
      </c>
      <c r="N74" s="8">
        <f>L74+M74</f>
        <v>0</v>
      </c>
      <c r="P74" s="1"/>
      <c r="Q74" s="1"/>
      <c r="R74" s="1"/>
      <c r="S74" s="1"/>
      <c r="T74" s="1"/>
      <c r="U74" s="1"/>
      <c r="V74" s="1"/>
      <c r="X74" s="8">
        <f t="shared" si="26"/>
        <v>8650</v>
      </c>
      <c r="Y74" s="8">
        <f t="shared" si="26"/>
        <v>-8650</v>
      </c>
      <c r="Z74" s="8">
        <f t="shared" si="26"/>
        <v>0</v>
      </c>
    </row>
    <row r="75" spans="2:26" x14ac:dyDescent="0.25">
      <c r="B75" s="2" t="s">
        <v>164</v>
      </c>
      <c r="D75" s="26">
        <f>SUM(D66:D74)</f>
        <v>0</v>
      </c>
      <c r="E75" s="26">
        <f>SUM(E66:E74)</f>
        <v>0</v>
      </c>
      <c r="F75" s="26">
        <f>D75+E75</f>
        <v>0</v>
      </c>
      <c r="H75" s="26">
        <f>SUM(H66:H74)</f>
        <v>161350</v>
      </c>
      <c r="I75" s="26">
        <f>SUM(I66:I74)</f>
        <v>-161350</v>
      </c>
      <c r="J75" s="26">
        <f>H75+I75</f>
        <v>0</v>
      </c>
      <c r="L75" s="26">
        <f>SUM(L66:L74)</f>
        <v>78650</v>
      </c>
      <c r="M75" s="26">
        <f>SUM(M66:M74)</f>
        <v>-78650</v>
      </c>
      <c r="N75" s="26">
        <f>L75+M75</f>
        <v>0</v>
      </c>
      <c r="P75" s="26">
        <f>SUM(P66:P74)</f>
        <v>707365</v>
      </c>
      <c r="Q75" s="26">
        <f>SUM(Q66:Q74)</f>
        <v>-742365</v>
      </c>
      <c r="R75" s="26">
        <f>P75+Q75</f>
        <v>-35000</v>
      </c>
      <c r="S75" s="1"/>
      <c r="T75" s="26">
        <f>SUM(T66:T74)</f>
        <v>35000</v>
      </c>
      <c r="U75" s="26">
        <f>SUM(U66:U74)</f>
        <v>0</v>
      </c>
      <c r="V75" s="26">
        <f>T75+U75</f>
        <v>35000</v>
      </c>
      <c r="X75" s="26">
        <f t="shared" si="26"/>
        <v>982365</v>
      </c>
      <c r="Y75" s="26">
        <f t="shared" si="26"/>
        <v>-982365</v>
      </c>
      <c r="Z75" s="26">
        <f t="shared" si="26"/>
        <v>0</v>
      </c>
    </row>
    <row r="76" spans="2:26" x14ac:dyDescent="0.25">
      <c r="B76" s="2"/>
    </row>
    <row r="77" spans="2:26" x14ac:dyDescent="0.25">
      <c r="B77" s="2" t="s">
        <v>490</v>
      </c>
      <c r="D77" s="8">
        <f>D63+D75</f>
        <v>0</v>
      </c>
      <c r="E77" s="8">
        <f>E63+E75</f>
        <v>70000</v>
      </c>
      <c r="F77" s="8">
        <f>D77+E77</f>
        <v>70000</v>
      </c>
      <c r="H77" s="8">
        <f>H63+H75</f>
        <v>161350</v>
      </c>
      <c r="I77" s="8">
        <f>I63+I75</f>
        <v>-91350</v>
      </c>
      <c r="J77" s="8">
        <f>H77+I77</f>
        <v>70000</v>
      </c>
      <c r="L77" s="8">
        <f>L63+L75</f>
        <v>78650</v>
      </c>
      <c r="M77" s="8">
        <f>M63+M75</f>
        <v>-8650</v>
      </c>
      <c r="N77" s="8">
        <f>L77+M77</f>
        <v>70000</v>
      </c>
      <c r="P77" s="8">
        <f>P63+P75</f>
        <v>707365</v>
      </c>
      <c r="Q77" s="8">
        <f>Q63+Q75</f>
        <v>-252365</v>
      </c>
      <c r="R77" s="8">
        <f>P77+Q77</f>
        <v>455000</v>
      </c>
      <c r="T77" s="8">
        <f>T63+T75</f>
        <v>35000</v>
      </c>
      <c r="U77" s="8">
        <f>U63+U75</f>
        <v>0</v>
      </c>
      <c r="V77" s="8">
        <f>T77+U77</f>
        <v>35000</v>
      </c>
      <c r="X77" s="8">
        <f>D77+H77+L77+P77+T77</f>
        <v>982365</v>
      </c>
      <c r="Y77" s="8">
        <f>E77+I77+M77+Q77+U77</f>
        <v>-282365</v>
      </c>
      <c r="Z77" s="8">
        <f>F77+J77+N77+R77+V77</f>
        <v>700000</v>
      </c>
    </row>
    <row r="78" spans="2:26" x14ac:dyDescent="0.25">
      <c r="B78" s="2"/>
    </row>
    <row r="79" spans="2:26" x14ac:dyDescent="0.25">
      <c r="Q79" s="1"/>
    </row>
    <row r="80" spans="2:26" x14ac:dyDescent="0.25">
      <c r="D80" t="s">
        <v>72</v>
      </c>
    </row>
    <row r="81" spans="4:17" x14ac:dyDescent="0.25">
      <c r="Q81" s="1"/>
    </row>
    <row r="82" spans="4:17" x14ac:dyDescent="0.25">
      <c r="D82" s="2" t="s">
        <v>58</v>
      </c>
      <c r="E82" t="s">
        <v>491</v>
      </c>
    </row>
    <row r="83" spans="4:17" x14ac:dyDescent="0.25">
      <c r="E83" t="s">
        <v>492</v>
      </c>
    </row>
    <row r="84" spans="4:17" x14ac:dyDescent="0.25">
      <c r="E84" t="s">
        <v>493</v>
      </c>
    </row>
    <row r="86" spans="4:17" x14ac:dyDescent="0.25">
      <c r="D86" s="2" t="s">
        <v>60</v>
      </c>
      <c r="E86" t="s">
        <v>494</v>
      </c>
    </row>
    <row r="87" spans="4:17" x14ac:dyDescent="0.25">
      <c r="E87" t="s">
        <v>495</v>
      </c>
    </row>
    <row r="88" spans="4:17" x14ac:dyDescent="0.25">
      <c r="E88" t="s">
        <v>496</v>
      </c>
    </row>
    <row r="90" spans="4:17" x14ac:dyDescent="0.25">
      <c r="D90" s="2" t="s">
        <v>109</v>
      </c>
      <c r="E90" t="s">
        <v>497</v>
      </c>
    </row>
    <row r="91" spans="4:17" x14ac:dyDescent="0.25">
      <c r="E91" t="s">
        <v>498</v>
      </c>
    </row>
    <row r="92" spans="4:17" x14ac:dyDescent="0.25">
      <c r="E92" t="s">
        <v>499</v>
      </c>
    </row>
    <row r="93" spans="4:17" x14ac:dyDescent="0.25">
      <c r="E93" t="s">
        <v>500</v>
      </c>
    </row>
    <row r="94" spans="4:17" x14ac:dyDescent="0.25">
      <c r="E94" s="2"/>
    </row>
    <row r="95" spans="4:17" x14ac:dyDescent="0.25">
      <c r="E95" s="2"/>
    </row>
    <row r="97" spans="4:18" x14ac:dyDescent="0.25">
      <c r="D97" t="s">
        <v>115</v>
      </c>
    </row>
    <row r="99" spans="4:18" x14ac:dyDescent="0.25">
      <c r="D99" s="36" t="s">
        <v>3</v>
      </c>
      <c r="E99" s="36"/>
      <c r="F99" s="36"/>
      <c r="H99" s="36" t="s">
        <v>4</v>
      </c>
      <c r="I99" s="36"/>
      <c r="J99" s="36"/>
      <c r="L99" s="36" t="s">
        <v>2</v>
      </c>
      <c r="M99" s="36"/>
      <c r="N99" s="36"/>
      <c r="P99" s="36" t="s">
        <v>13</v>
      </c>
      <c r="Q99" s="36"/>
      <c r="R99" s="36"/>
    </row>
    <row r="100" spans="4:18" x14ac:dyDescent="0.25">
      <c r="D100" s="6"/>
      <c r="E100" s="6"/>
      <c r="F100" s="6"/>
      <c r="H100" s="6"/>
      <c r="I100" s="6"/>
      <c r="J100" s="6"/>
    </row>
    <row r="101" spans="4:18" x14ac:dyDescent="0.25">
      <c r="E101" s="6" t="s">
        <v>110</v>
      </c>
      <c r="F101" s="6" t="s">
        <v>111</v>
      </c>
      <c r="I101" s="6" t="s">
        <v>110</v>
      </c>
      <c r="J101" s="6" t="s">
        <v>111</v>
      </c>
      <c r="M101" s="6" t="s">
        <v>110</v>
      </c>
      <c r="N101" s="6" t="s">
        <v>111</v>
      </c>
      <c r="Q101" s="6" t="s">
        <v>110</v>
      </c>
      <c r="R101" s="6" t="s">
        <v>111</v>
      </c>
    </row>
    <row r="102" spans="4:18" x14ac:dyDescent="0.25">
      <c r="E102" s="6"/>
      <c r="F102" s="6"/>
      <c r="J102" s="1"/>
    </row>
    <row r="103" spans="4:18" x14ac:dyDescent="0.25">
      <c r="E103" s="2" t="s">
        <v>514</v>
      </c>
      <c r="F103" s="9">
        <f>'FY08'!D29+'FY08'!D50</f>
        <v>14885.5</v>
      </c>
      <c r="I103" s="2" t="s">
        <v>481</v>
      </c>
      <c r="J103" s="9">
        <f>'FY08'!J108+'FY08'!H38</f>
        <v>18500</v>
      </c>
    </row>
    <row r="104" spans="4:18" x14ac:dyDescent="0.25">
      <c r="E104" s="2" t="s">
        <v>480</v>
      </c>
      <c r="F104" s="9">
        <f>'FY08'!D30+'FY08'!D51</f>
        <v>25000</v>
      </c>
      <c r="I104" s="24" t="s">
        <v>602</v>
      </c>
      <c r="J104" s="9">
        <f>'FY08'!H23+'FY08'!H44</f>
        <v>34000</v>
      </c>
      <c r="M104" s="2" t="s">
        <v>535</v>
      </c>
      <c r="N104" s="9">
        <f>'FY08'!N108+'FY08'!L40</f>
        <v>3330</v>
      </c>
      <c r="Q104" s="2" t="s">
        <v>567</v>
      </c>
      <c r="R104" s="9">
        <f>'FY08'!R108+'FY08'!P36</f>
        <v>19248.34</v>
      </c>
    </row>
    <row r="105" spans="4:18" x14ac:dyDescent="0.25">
      <c r="E105" s="2" t="s">
        <v>113</v>
      </c>
      <c r="F105" s="13">
        <f>SUM(F103:F104)</f>
        <v>39885.5</v>
      </c>
      <c r="I105" s="24" t="s">
        <v>507</v>
      </c>
      <c r="J105" s="9">
        <f>'FY08'!H24+'FY08'!H45</f>
        <v>20000</v>
      </c>
      <c r="M105" s="2" t="s">
        <v>525</v>
      </c>
      <c r="N105" s="9">
        <f>'FY08'!N109+'FY08'!L41</f>
        <v>897.67</v>
      </c>
      <c r="Q105" s="2" t="s">
        <v>539</v>
      </c>
      <c r="R105" s="9">
        <f>'FY08'!R109+'FY08'!P43</f>
        <v>50000</v>
      </c>
    </row>
    <row r="106" spans="4:18" x14ac:dyDescent="0.25">
      <c r="I106" s="2" t="s">
        <v>603</v>
      </c>
      <c r="J106" s="9">
        <f>'FY08'!H27+'FY08'!H48</f>
        <v>11000</v>
      </c>
      <c r="M106" s="24" t="s">
        <v>509</v>
      </c>
      <c r="N106" s="9">
        <f>'FY08'!L25+'FY08'!L46</f>
        <v>78.079999999999927</v>
      </c>
      <c r="Q106" s="2" t="s">
        <v>512</v>
      </c>
      <c r="R106" s="9">
        <f>'FY08'!P28+'FY08'!P49</f>
        <v>6960</v>
      </c>
    </row>
    <row r="107" spans="4:18" x14ac:dyDescent="0.25">
      <c r="I107" s="2" t="s">
        <v>113</v>
      </c>
      <c r="J107" s="13">
        <f>SUM(J103:J106)</f>
        <v>83500</v>
      </c>
      <c r="M107" s="24" t="s">
        <v>113</v>
      </c>
      <c r="N107" s="13">
        <f>SUM(N104:N106)</f>
        <v>4305.75</v>
      </c>
      <c r="Q107" s="2" t="s">
        <v>113</v>
      </c>
      <c r="R107" s="13">
        <f>SUM(R104:R106)</f>
        <v>76208.34</v>
      </c>
    </row>
    <row r="110" spans="4:18" x14ac:dyDescent="0.25">
      <c r="J110" s="1"/>
    </row>
  </sheetData>
  <mergeCells count="11">
    <mergeCell ref="X4:Z4"/>
    <mergeCell ref="A58:B58"/>
    <mergeCell ref="D99:F99"/>
    <mergeCell ref="H99:J99"/>
    <mergeCell ref="L99:N99"/>
    <mergeCell ref="P99:R99"/>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pageSetUpPr fitToPage="1"/>
  </sheetPr>
  <dimension ref="A2:Z127"/>
  <sheetViews>
    <sheetView zoomScale="120" zoomScaleNormal="120" workbookViewId="0">
      <pane xSplit="2" ySplit="6" topLeftCell="D10" activePane="bottomRight" state="frozen"/>
      <selection activeCell="G1" sqref="G1"/>
      <selection pane="topRight" activeCell="G1" sqref="G1"/>
      <selection pane="bottomLeft" activeCell="G1" sqref="G1"/>
      <selection pane="bottomRight" activeCell="N26" sqref="N26"/>
    </sheetView>
  </sheetViews>
  <sheetFormatPr defaultRowHeight="15" x14ac:dyDescent="0.25"/>
  <cols>
    <col min="1" max="3" width="12.7109375" customWidth="1"/>
    <col min="4" max="4" width="14.28515625" customWidth="1"/>
    <col min="5" max="5" width="15.7109375" customWidth="1"/>
    <col min="6" max="6" width="14.28515625" customWidth="1"/>
    <col min="7" max="7" width="2.7109375" customWidth="1"/>
    <col min="8" max="8" width="12.7109375" customWidth="1"/>
    <col min="9" max="9" width="15" customWidth="1"/>
    <col min="10" max="10" width="12.7109375" customWidth="1"/>
    <col min="11" max="11" width="2.7109375" customWidth="1"/>
    <col min="12" max="12" width="13.85546875" customWidth="1"/>
    <col min="13" max="13" width="12.7109375" customWidth="1"/>
    <col min="14" max="14" width="13.85546875" customWidth="1"/>
    <col min="15" max="15" width="2.7109375" customWidth="1"/>
    <col min="16" max="16" width="14" customWidth="1"/>
    <col min="17" max="17" width="12.7109375" customWidth="1"/>
    <col min="18" max="18" width="14.855468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6" x14ac:dyDescent="0.25">
      <c r="D2" t="s">
        <v>821</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822</v>
      </c>
      <c r="C7" s="2"/>
      <c r="D7" s="8">
        <f>ROUND('FY25'!D87,2)</f>
        <v>185800.73</v>
      </c>
      <c r="E7" s="8">
        <f>ROUND('FY25'!E87,2)</f>
        <v>48809.98</v>
      </c>
      <c r="F7" s="8">
        <f>D7+E7</f>
        <v>234610.71000000002</v>
      </c>
      <c r="H7" s="8">
        <f>ROUND('FY25'!H87,2)</f>
        <v>469202.86</v>
      </c>
      <c r="I7" s="8">
        <f>ROUND('FY25'!I87,2)</f>
        <v>30072.74</v>
      </c>
      <c r="J7" s="8">
        <f>H7+I7</f>
        <v>499275.6</v>
      </c>
      <c r="L7" s="8">
        <f>ROUND('FY25'!L87,2)</f>
        <v>32101.439999999999</v>
      </c>
      <c r="M7" s="8">
        <f>ROUND('FY25'!M87,2)</f>
        <v>26825.02</v>
      </c>
      <c r="N7" s="8">
        <f>L7+M7</f>
        <v>58926.46</v>
      </c>
      <c r="P7" s="8">
        <f>ROUND('FY25'!P87,2)</f>
        <v>193464.8</v>
      </c>
      <c r="Q7" s="8">
        <f>ROUND('FY25'!Q87,2)</f>
        <v>220492.64</v>
      </c>
      <c r="R7" s="8">
        <f>P7+Q7</f>
        <v>413957.44</v>
      </c>
      <c r="T7" s="8">
        <f>ROUND('FY25'!T87,2)</f>
        <v>0</v>
      </c>
      <c r="U7" s="8">
        <f>ROUND('FY25'!U87,2)</f>
        <v>0</v>
      </c>
      <c r="V7" s="8">
        <f>T7+U7</f>
        <v>0</v>
      </c>
      <c r="X7" s="8">
        <f>D7+H7+L7+P7+T7</f>
        <v>880569.82999999984</v>
      </c>
      <c r="Y7" s="8">
        <f>E7+I7+M7+Q7+U7</f>
        <v>326200.38</v>
      </c>
      <c r="Z7" s="8">
        <f>F7+J7+N7+R7+V7</f>
        <v>1206770.21</v>
      </c>
    </row>
    <row r="9" spans="2:26" x14ac:dyDescent="0.25">
      <c r="B9" s="5" t="s">
        <v>11</v>
      </c>
      <c r="C9" s="5"/>
      <c r="T9" s="1"/>
      <c r="U9" s="1"/>
      <c r="V9" s="1"/>
    </row>
    <row r="10" spans="2:26" ht="15" customHeight="1" x14ac:dyDescent="0.25">
      <c r="B10" s="2" t="s">
        <v>823</v>
      </c>
      <c r="C10" s="2"/>
      <c r="D10" s="9">
        <v>0</v>
      </c>
      <c r="E10" s="9">
        <f>ROUND(900000/10,2)</f>
        <v>90000</v>
      </c>
      <c r="F10" s="8">
        <f t="shared" ref="F10:F15" si="0">D10+E10</f>
        <v>90000</v>
      </c>
      <c r="H10" s="9">
        <v>0</v>
      </c>
      <c r="I10" s="9">
        <f>ROUND(900000/10,2)</f>
        <v>90000</v>
      </c>
      <c r="J10" s="8">
        <f t="shared" ref="J10:J15" si="1">H10+I10</f>
        <v>90000</v>
      </c>
      <c r="L10" s="9">
        <v>0</v>
      </c>
      <c r="M10" s="9">
        <f>ROUND(900000/10,2)</f>
        <v>90000</v>
      </c>
      <c r="N10" s="8">
        <f t="shared" ref="N10:N15" si="2">L10+M10</f>
        <v>90000</v>
      </c>
      <c r="P10" s="9">
        <v>0</v>
      </c>
      <c r="Q10" s="9">
        <f>900000-E10-I10-M10</f>
        <v>630000</v>
      </c>
      <c r="R10" s="8">
        <f t="shared" ref="R10:R15" si="3">P10+Q10</f>
        <v>630000</v>
      </c>
      <c r="T10" s="1"/>
      <c r="U10" s="1"/>
      <c r="V10" s="1"/>
      <c r="X10" s="8">
        <f t="shared" ref="X10:Z15" si="4">D10+H10+L10+P10+T10</f>
        <v>0</v>
      </c>
      <c r="Y10" s="8">
        <f t="shared" si="4"/>
        <v>900000</v>
      </c>
      <c r="Z10" s="8">
        <f t="shared" si="4"/>
        <v>900000</v>
      </c>
    </row>
    <row r="11" spans="2:26"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6" x14ac:dyDescent="0.25">
      <c r="B12" s="2" t="s">
        <v>783</v>
      </c>
      <c r="C12" s="2"/>
      <c r="D12" s="9">
        <v>0</v>
      </c>
      <c r="E12" s="9">
        <f>ROUND(900000*0.25/10,2)</f>
        <v>22500</v>
      </c>
      <c r="F12" s="8">
        <f t="shared" si="0"/>
        <v>22500</v>
      </c>
      <c r="H12" s="9">
        <v>0</v>
      </c>
      <c r="I12" s="9">
        <f>ROUND(900000*0.25/10,2)</f>
        <v>22500</v>
      </c>
      <c r="J12" s="8">
        <f t="shared" si="1"/>
        <v>22500</v>
      </c>
      <c r="L12" s="9">
        <v>0</v>
      </c>
      <c r="M12" s="9">
        <f>ROUND(900000*0.25/10,2)</f>
        <v>22500</v>
      </c>
      <c r="N12" s="8">
        <f t="shared" si="2"/>
        <v>22500</v>
      </c>
      <c r="P12" s="9">
        <v>0</v>
      </c>
      <c r="Q12" s="9">
        <f>900000*0.25-E12-I12-M12</f>
        <v>157500</v>
      </c>
      <c r="R12" s="8">
        <f t="shared" si="3"/>
        <v>157500</v>
      </c>
      <c r="T12" s="1"/>
      <c r="U12" s="1"/>
      <c r="V12" s="1"/>
      <c r="X12" s="8">
        <f t="shared" si="4"/>
        <v>0</v>
      </c>
      <c r="Y12" s="8">
        <f t="shared" si="4"/>
        <v>225000</v>
      </c>
      <c r="Z12" s="8">
        <f t="shared" si="4"/>
        <v>225000</v>
      </c>
    </row>
    <row r="13" spans="2: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2:26" ht="15.75" thickBot="1" x14ac:dyDescent="0.3">
      <c r="B14" s="2" t="s">
        <v>824</v>
      </c>
      <c r="C14" s="2"/>
      <c r="D14" s="9">
        <v>0</v>
      </c>
      <c r="E14" s="9">
        <f>7410/10</f>
        <v>741</v>
      </c>
      <c r="F14" s="15">
        <f t="shared" si="0"/>
        <v>741</v>
      </c>
      <c r="H14" s="14">
        <v>0</v>
      </c>
      <c r="I14" s="9">
        <f>7410/10</f>
        <v>741</v>
      </c>
      <c r="J14" s="15">
        <f t="shared" si="1"/>
        <v>741</v>
      </c>
      <c r="L14" s="14">
        <v>0</v>
      </c>
      <c r="M14" s="9">
        <f>7410/10</f>
        <v>741</v>
      </c>
      <c r="N14" s="15">
        <f t="shared" si="2"/>
        <v>741</v>
      </c>
      <c r="P14" s="14">
        <v>0</v>
      </c>
      <c r="Q14" s="14">
        <f>7410-E14-I14-M14</f>
        <v>5187</v>
      </c>
      <c r="R14" s="15">
        <f t="shared" si="3"/>
        <v>5187</v>
      </c>
      <c r="T14" s="1"/>
      <c r="U14" s="1"/>
      <c r="V14" s="1"/>
      <c r="X14" s="15">
        <f t="shared" si="4"/>
        <v>0</v>
      </c>
      <c r="Y14" s="15">
        <f t="shared" si="4"/>
        <v>7410</v>
      </c>
      <c r="Z14" s="15">
        <f t="shared" si="4"/>
        <v>7410</v>
      </c>
    </row>
    <row r="15" spans="2:26" x14ac:dyDescent="0.25">
      <c r="B15" s="2" t="s">
        <v>28</v>
      </c>
      <c r="C15" s="2"/>
      <c r="D15" s="26">
        <f>SUM(D10:D14)</f>
        <v>0</v>
      </c>
      <c r="E15" s="26">
        <f>SUM(E10:E14)</f>
        <v>113241</v>
      </c>
      <c r="F15" s="26">
        <f t="shared" si="0"/>
        <v>113241</v>
      </c>
      <c r="H15" s="26">
        <f>SUM(H10:H14)</f>
        <v>0</v>
      </c>
      <c r="I15" s="26">
        <f>SUM(I10:I14)</f>
        <v>113241</v>
      </c>
      <c r="J15" s="26">
        <f t="shared" si="1"/>
        <v>113241</v>
      </c>
      <c r="L15" s="26">
        <f>SUM(L10:L14)</f>
        <v>0</v>
      </c>
      <c r="M15" s="26">
        <f>SUM(M10:M14)</f>
        <v>113241</v>
      </c>
      <c r="N15" s="26">
        <f t="shared" si="2"/>
        <v>113241</v>
      </c>
      <c r="P15" s="26">
        <f>SUM(P10:P14)</f>
        <v>0</v>
      </c>
      <c r="Q15" s="26">
        <f>SUM(Q10:Q14)</f>
        <v>792687</v>
      </c>
      <c r="R15" s="26">
        <f t="shared" si="3"/>
        <v>792687</v>
      </c>
      <c r="S15" s="1"/>
      <c r="T15" s="26">
        <f>SUM(T10:T14)</f>
        <v>0</v>
      </c>
      <c r="U15" s="26">
        <f>SUM(U10:U14)</f>
        <v>0</v>
      </c>
      <c r="V15" s="26">
        <f>T15+U15</f>
        <v>0</v>
      </c>
      <c r="X15" s="26">
        <f t="shared" si="4"/>
        <v>0</v>
      </c>
      <c r="Y15" s="26">
        <f t="shared" si="4"/>
        <v>1132410</v>
      </c>
      <c r="Z15" s="26">
        <f t="shared" si="4"/>
        <v>1132410</v>
      </c>
    </row>
    <row r="17" spans="2:26" x14ac:dyDescent="0.25">
      <c r="B17" s="5" t="s">
        <v>876</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-19000</v>
      </c>
      <c r="R18" s="8">
        <f>P18+Q18</f>
        <v>-19000</v>
      </c>
      <c r="T18" s="9">
        <v>19000</v>
      </c>
      <c r="U18" s="9">
        <v>0</v>
      </c>
      <c r="V18" s="8">
        <f>T18+U18</f>
        <v>19000</v>
      </c>
      <c r="X18" s="8">
        <f t="shared" ref="X18:Z32" si="5">D18+H18+L18+P18+T18</f>
        <v>19000</v>
      </c>
      <c r="Y18" s="8">
        <f t="shared" si="5"/>
        <v>-19000</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ref="X19:X20" si="6">D19+H19+L19+P19+T19</f>
        <v>10000</v>
      </c>
      <c r="Y19" s="8">
        <f t="shared" ref="Y19:Y20" si="7">E19+I19+M19+Q19+U19</f>
        <v>-10000</v>
      </c>
      <c r="Z19" s="8">
        <f t="shared" ref="Z19:Z20" si="8">F19+J19+N19+R19+V19</f>
        <v>0</v>
      </c>
    </row>
    <row r="20" spans="2:26" x14ac:dyDescent="0.25">
      <c r="B20" s="2" t="s">
        <v>893</v>
      </c>
      <c r="C20" s="6" t="s">
        <v>647</v>
      </c>
      <c r="E20" s="1"/>
      <c r="F20" s="1"/>
      <c r="H20" s="1"/>
      <c r="I20" s="1"/>
      <c r="J20" s="1"/>
      <c r="M20" s="1"/>
      <c r="N20" s="1"/>
      <c r="P20" s="9">
        <f>69702 + 100000 + 32764.94 + 0.06</f>
        <v>202467</v>
      </c>
      <c r="Q20" s="8">
        <f>-P20</f>
        <v>-202467</v>
      </c>
      <c r="R20" s="8">
        <f>P20+Q20</f>
        <v>0</v>
      </c>
      <c r="X20" s="8">
        <f t="shared" si="6"/>
        <v>202467</v>
      </c>
      <c r="Y20" s="8">
        <f t="shared" si="7"/>
        <v>-202467</v>
      </c>
      <c r="Z20" s="8">
        <f t="shared" si="8"/>
        <v>0</v>
      </c>
    </row>
    <row r="21" spans="2:26" x14ac:dyDescent="0.25">
      <c r="B21" s="2" t="s">
        <v>852</v>
      </c>
      <c r="C21" s="6" t="s">
        <v>853</v>
      </c>
      <c r="E21" s="1"/>
      <c r="F21" s="1"/>
      <c r="H21" s="1"/>
      <c r="I21" s="1"/>
      <c r="J21" s="1"/>
      <c r="L21" s="9">
        <v>4000</v>
      </c>
      <c r="M21" s="8">
        <f>-L21</f>
        <v>-4000</v>
      </c>
      <c r="N21" s="8">
        <f t="shared" ref="N21" si="9">L21+M21</f>
        <v>0</v>
      </c>
      <c r="P21" s="9">
        <f>70000-L21</f>
        <v>66000</v>
      </c>
      <c r="Q21" s="8">
        <f>-P21</f>
        <v>-66000</v>
      </c>
      <c r="R21" s="8">
        <f t="shared" ref="R21:R24" si="10">P21+Q21</f>
        <v>0</v>
      </c>
      <c r="X21" s="8">
        <f t="shared" ref="X21:X31" si="11">D21+H21+L21+P21+T21</f>
        <v>70000</v>
      </c>
      <c r="Y21" s="8">
        <f t="shared" ref="Y21:Y31" si="12">E21+I21+M21+Q21+U21</f>
        <v>-70000</v>
      </c>
      <c r="Z21" s="8">
        <f t="shared" ref="Z21:Z31" si="13">F21+J21+N21+R21+V21</f>
        <v>0</v>
      </c>
    </row>
    <row r="22" spans="2:26" x14ac:dyDescent="0.25">
      <c r="B22" s="2" t="s">
        <v>854</v>
      </c>
      <c r="C22" s="6" t="s">
        <v>855</v>
      </c>
      <c r="E22" s="1"/>
      <c r="F22" s="1"/>
      <c r="H22" s="1"/>
      <c r="I22" s="1"/>
      <c r="J22" s="1"/>
      <c r="L22" s="9">
        <f>140000-30759</f>
        <v>109241</v>
      </c>
      <c r="M22" s="8">
        <f>-L22</f>
        <v>-109241</v>
      </c>
      <c r="N22" s="8">
        <f t="shared" ref="N22" si="14">L22+M22</f>
        <v>0</v>
      </c>
      <c r="P22" s="9">
        <f>60000 - 60000</f>
        <v>0</v>
      </c>
      <c r="Q22" s="8">
        <f>-P22</f>
        <v>0</v>
      </c>
      <c r="R22" s="8">
        <f t="shared" si="10"/>
        <v>0</v>
      </c>
      <c r="X22" s="8">
        <f t="shared" si="11"/>
        <v>109241</v>
      </c>
      <c r="Y22" s="8">
        <f t="shared" si="12"/>
        <v>-109241</v>
      </c>
      <c r="Z22" s="8">
        <f t="shared" si="13"/>
        <v>0</v>
      </c>
    </row>
    <row r="23" spans="2:26" x14ac:dyDescent="0.25">
      <c r="B23" s="2" t="s">
        <v>857</v>
      </c>
      <c r="C23" s="6" t="s">
        <v>856</v>
      </c>
      <c r="D23" s="9">
        <f>200000-150161</f>
        <v>49839</v>
      </c>
      <c r="E23" s="8">
        <f>-D23</f>
        <v>-49839</v>
      </c>
      <c r="F23" s="8">
        <f t="shared" ref="F23:F25" si="15">D23+E23</f>
        <v>0</v>
      </c>
      <c r="H23" s="1"/>
      <c r="I23" s="1"/>
      <c r="J23" s="1"/>
      <c r="M23" s="1"/>
      <c r="N23" s="1"/>
      <c r="X23" s="8">
        <f t="shared" si="11"/>
        <v>49839</v>
      </c>
      <c r="Y23" s="8">
        <f t="shared" si="12"/>
        <v>-49839</v>
      </c>
      <c r="Z23" s="8">
        <f t="shared" si="13"/>
        <v>0</v>
      </c>
    </row>
    <row r="24" spans="2:26" x14ac:dyDescent="0.25">
      <c r="B24" s="2" t="s">
        <v>858</v>
      </c>
      <c r="C24" s="6" t="s">
        <v>859</v>
      </c>
      <c r="E24" s="1"/>
      <c r="F24" s="1"/>
      <c r="H24" s="1"/>
      <c r="I24" s="1"/>
      <c r="J24" s="1"/>
      <c r="M24" s="1"/>
      <c r="N24" s="1"/>
      <c r="P24" s="9">
        <f>100000-42072.94</f>
        <v>57927.06</v>
      </c>
      <c r="Q24" s="8">
        <f>-P24</f>
        <v>-57927.06</v>
      </c>
      <c r="R24" s="8">
        <f t="shared" si="10"/>
        <v>0</v>
      </c>
      <c r="X24" s="8">
        <f t="shared" si="11"/>
        <v>57927.06</v>
      </c>
      <c r="Y24" s="8">
        <f t="shared" si="12"/>
        <v>-57927.06</v>
      </c>
      <c r="Z24" s="8">
        <f t="shared" si="13"/>
        <v>0</v>
      </c>
    </row>
    <row r="25" spans="2:26" x14ac:dyDescent="0.25">
      <c r="B25" s="2" t="s">
        <v>860</v>
      </c>
      <c r="C25" s="6" t="s">
        <v>861</v>
      </c>
      <c r="D25" s="9">
        <v>63402</v>
      </c>
      <c r="E25" s="8">
        <f>-D25</f>
        <v>-63402</v>
      </c>
      <c r="F25" s="8">
        <f t="shared" si="15"/>
        <v>0</v>
      </c>
      <c r="H25" s="1"/>
      <c r="I25" s="1"/>
      <c r="J25" s="1"/>
      <c r="M25" s="1"/>
      <c r="N25" s="1"/>
      <c r="X25" s="8">
        <f t="shared" si="11"/>
        <v>63402</v>
      </c>
      <c r="Y25" s="8">
        <f t="shared" si="12"/>
        <v>-63402</v>
      </c>
      <c r="Z25" s="8">
        <f t="shared" si="13"/>
        <v>0</v>
      </c>
    </row>
    <row r="26" spans="2:26" x14ac:dyDescent="0.25">
      <c r="B26" s="2" t="s">
        <v>865</v>
      </c>
      <c r="C26" s="6" t="s">
        <v>862</v>
      </c>
      <c r="E26" s="1"/>
      <c r="F26" s="1"/>
      <c r="H26" s="9">
        <f>153000*0</f>
        <v>0</v>
      </c>
      <c r="I26" s="8">
        <f>-H26</f>
        <v>0</v>
      </c>
      <c r="J26" s="8">
        <f t="shared" ref="J26:J27" si="16">H26+I26</f>
        <v>0</v>
      </c>
      <c r="M26" s="1"/>
      <c r="N26" s="1"/>
      <c r="X26" s="8">
        <f t="shared" si="11"/>
        <v>0</v>
      </c>
      <c r="Y26" s="8">
        <f t="shared" si="12"/>
        <v>0</v>
      </c>
      <c r="Z26" s="8">
        <f t="shared" si="13"/>
        <v>0</v>
      </c>
    </row>
    <row r="27" spans="2:26" x14ac:dyDescent="0.25">
      <c r="B27" s="2" t="s">
        <v>864</v>
      </c>
      <c r="C27" s="6" t="s">
        <v>863</v>
      </c>
      <c r="E27" s="1"/>
      <c r="F27" s="1"/>
      <c r="H27" s="9">
        <f>70000*0</f>
        <v>0</v>
      </c>
      <c r="I27" s="8">
        <f>-H27</f>
        <v>0</v>
      </c>
      <c r="J27" s="8">
        <f t="shared" si="16"/>
        <v>0</v>
      </c>
      <c r="M27" s="1"/>
      <c r="N27" s="1"/>
      <c r="X27" s="8">
        <f t="shared" si="11"/>
        <v>0</v>
      </c>
      <c r="Y27" s="8">
        <f t="shared" si="12"/>
        <v>0</v>
      </c>
      <c r="Z27" s="8">
        <f t="shared" si="13"/>
        <v>0</v>
      </c>
    </row>
    <row r="28" spans="2:26" x14ac:dyDescent="0.25">
      <c r="B28" s="2" t="s">
        <v>866</v>
      </c>
      <c r="C28" s="6" t="s">
        <v>867</v>
      </c>
      <c r="E28" s="1"/>
      <c r="F28" s="1"/>
      <c r="H28" s="1"/>
      <c r="I28" s="1"/>
      <c r="J28" s="1"/>
      <c r="M28" s="1"/>
      <c r="N28" s="1"/>
      <c r="P28" s="9">
        <v>84330</v>
      </c>
      <c r="Q28" s="8">
        <f>-P28</f>
        <v>-84330</v>
      </c>
      <c r="R28" s="8">
        <f t="shared" ref="R28" si="17">P28+Q28</f>
        <v>0</v>
      </c>
      <c r="X28" s="8">
        <f t="shared" si="11"/>
        <v>84330</v>
      </c>
      <c r="Y28" s="8">
        <f t="shared" si="12"/>
        <v>-84330</v>
      </c>
      <c r="Z28" s="8">
        <f t="shared" si="13"/>
        <v>0</v>
      </c>
    </row>
    <row r="29" spans="2:26" x14ac:dyDescent="0.25">
      <c r="B29" s="2" t="s">
        <v>868</v>
      </c>
      <c r="C29" s="6" t="s">
        <v>869</v>
      </c>
      <c r="E29" s="1"/>
      <c r="F29" s="1"/>
      <c r="H29" s="1"/>
      <c r="I29" s="1"/>
      <c r="J29" s="1"/>
      <c r="M29" s="1"/>
      <c r="N29" s="1"/>
      <c r="P29" s="9">
        <v>352963</v>
      </c>
      <c r="Q29" s="8">
        <f>-P29</f>
        <v>-352963</v>
      </c>
      <c r="R29" s="8">
        <f t="shared" ref="R29" si="18">P29+Q29</f>
        <v>0</v>
      </c>
      <c r="X29" s="8">
        <f t="shared" ref="X29" si="19">D29+H29+L29+P29+T29</f>
        <v>352963</v>
      </c>
      <c r="Y29" s="8">
        <f t="shared" ref="Y29" si="20">E29+I29+M29+Q29+U29</f>
        <v>-352963</v>
      </c>
      <c r="Z29" s="8">
        <f t="shared" ref="Z29" si="21">F29+J29+N29+R29+V29</f>
        <v>0</v>
      </c>
    </row>
    <row r="30" spans="2:26" x14ac:dyDescent="0.25">
      <c r="B30" s="2" t="s">
        <v>870</v>
      </c>
      <c r="C30" s="6" t="s">
        <v>871</v>
      </c>
      <c r="E30" s="1"/>
      <c r="F30" s="1"/>
      <c r="H30" s="9">
        <f>62675*0</f>
        <v>0</v>
      </c>
      <c r="I30" s="8">
        <f>-H30</f>
        <v>0</v>
      </c>
      <c r="J30" s="8">
        <f t="shared" ref="J30:J31" si="22">H30+I30</f>
        <v>0</v>
      </c>
      <c r="M30" s="1"/>
      <c r="N30" s="1"/>
      <c r="X30" s="8">
        <f t="shared" si="11"/>
        <v>0</v>
      </c>
      <c r="Y30" s="8">
        <f t="shared" si="12"/>
        <v>0</v>
      </c>
      <c r="Z30" s="8">
        <f t="shared" si="13"/>
        <v>0</v>
      </c>
    </row>
    <row r="31" spans="2:26" ht="15.75" thickBot="1" x14ac:dyDescent="0.3">
      <c r="B31" s="2" t="s">
        <v>872</v>
      </c>
      <c r="C31" s="6" t="s">
        <v>873</v>
      </c>
      <c r="E31" s="1"/>
      <c r="F31" s="1"/>
      <c r="H31" s="9">
        <f>158972-45731</f>
        <v>113241</v>
      </c>
      <c r="I31" s="8">
        <f>-H31</f>
        <v>-113241</v>
      </c>
      <c r="J31" s="8">
        <f t="shared" si="22"/>
        <v>0</v>
      </c>
      <c r="M31" s="1"/>
      <c r="N31" s="1"/>
      <c r="X31" s="8">
        <f t="shared" si="11"/>
        <v>113241</v>
      </c>
      <c r="Y31" s="8">
        <f t="shared" si="12"/>
        <v>-113241</v>
      </c>
      <c r="Z31" s="8">
        <f t="shared" si="13"/>
        <v>0</v>
      </c>
    </row>
    <row r="32" spans="2:26" x14ac:dyDescent="0.25">
      <c r="B32" s="2" t="s">
        <v>878</v>
      </c>
      <c r="C32" s="2"/>
      <c r="D32" s="26">
        <f>SUM(D18:D31)</f>
        <v>113241</v>
      </c>
      <c r="E32" s="26">
        <f>SUM(E18:E31)</f>
        <v>-113241</v>
      </c>
      <c r="F32" s="26">
        <f>D32+E32</f>
        <v>0</v>
      </c>
      <c r="H32" s="26">
        <f>SUM(H18:H31)</f>
        <v>113241</v>
      </c>
      <c r="I32" s="26">
        <f>SUM(I18:I31)</f>
        <v>-113241</v>
      </c>
      <c r="J32" s="26">
        <f>H32+I32</f>
        <v>0</v>
      </c>
      <c r="L32" s="26">
        <f>SUM(L18:L31)</f>
        <v>113241</v>
      </c>
      <c r="M32" s="26">
        <f>SUM(M18:M31)</f>
        <v>-113241</v>
      </c>
      <c r="N32" s="26">
        <f>L32+M32</f>
        <v>0</v>
      </c>
      <c r="P32" s="26">
        <f>SUM(P18:P31)</f>
        <v>763687.06</v>
      </c>
      <c r="Q32" s="26">
        <f>SUM(Q18:Q31)</f>
        <v>-792687.06</v>
      </c>
      <c r="R32" s="26">
        <f>P32+Q32</f>
        <v>-29000</v>
      </c>
      <c r="S32" s="1"/>
      <c r="T32" s="26">
        <f>SUM(T18:T31)</f>
        <v>29000</v>
      </c>
      <c r="U32" s="26">
        <f>SUM(U18:U31)</f>
        <v>0</v>
      </c>
      <c r="V32" s="26">
        <f>T32+U32</f>
        <v>29000</v>
      </c>
      <c r="X32" s="26">
        <f>D32+H32+L32+P32+T32</f>
        <v>1132410.06</v>
      </c>
      <c r="Y32" s="26">
        <f t="shared" si="5"/>
        <v>-1132410.06</v>
      </c>
      <c r="Z32" s="26">
        <f t="shared" si="5"/>
        <v>0</v>
      </c>
    </row>
    <row r="33" spans="2:26" x14ac:dyDescent="0.25">
      <c r="H33" s="1"/>
      <c r="I33" s="1"/>
      <c r="J33" s="1"/>
      <c r="L33" s="1"/>
      <c r="M33" s="1"/>
      <c r="N33" s="1"/>
      <c r="P33" s="1"/>
      <c r="R33" s="1"/>
    </row>
    <row r="34" spans="2:26" x14ac:dyDescent="0.25">
      <c r="B34" s="5" t="s">
        <v>877</v>
      </c>
      <c r="H34" s="1"/>
      <c r="I34" s="1"/>
      <c r="J34" s="1"/>
      <c r="L34" s="1"/>
      <c r="M34" s="1"/>
      <c r="N34" s="1"/>
      <c r="Q34" s="1"/>
      <c r="R34" s="1"/>
    </row>
    <row r="35" spans="2:26" x14ac:dyDescent="0.25">
      <c r="B35" s="2" t="s">
        <v>918</v>
      </c>
      <c r="C35" s="6" t="s">
        <v>869</v>
      </c>
      <c r="H35" s="1"/>
      <c r="I35" s="1"/>
      <c r="J35" s="1"/>
      <c r="L35" s="1"/>
      <c r="M35" s="1"/>
      <c r="N35" s="1"/>
      <c r="P35" s="9">
        <v>33000</v>
      </c>
      <c r="Q35" s="8">
        <f>-P35</f>
        <v>-33000</v>
      </c>
      <c r="R35" s="8">
        <f t="shared" ref="R35:R36" si="23">P35+Q35</f>
        <v>0</v>
      </c>
      <c r="X35" s="8">
        <f t="shared" ref="X35" si="24">D35+H35+L35+P35+T35</f>
        <v>33000</v>
      </c>
      <c r="Y35" s="8">
        <f t="shared" ref="Y35" si="25">E35+I35+M35+Q35+U35</f>
        <v>-33000</v>
      </c>
      <c r="Z35" s="8">
        <f t="shared" ref="Z35" si="26">F35+J35+N35+R35+V35</f>
        <v>0</v>
      </c>
    </row>
    <row r="36" spans="2:26" ht="15.75" thickBot="1" x14ac:dyDescent="0.3">
      <c r="B36" s="2" t="s">
        <v>917</v>
      </c>
      <c r="C36" s="6" t="s">
        <v>869</v>
      </c>
      <c r="H36" s="1"/>
      <c r="I36" s="1"/>
      <c r="J36" s="1"/>
      <c r="L36" s="1"/>
      <c r="M36" s="1"/>
      <c r="N36" s="1"/>
      <c r="P36" s="9">
        <v>115000</v>
      </c>
      <c r="Q36" s="8">
        <f>-P36</f>
        <v>-115000</v>
      </c>
      <c r="R36" s="8">
        <f t="shared" si="23"/>
        <v>0</v>
      </c>
      <c r="X36" s="8">
        <f t="shared" ref="X36:Z37" si="27">D36+H36+L36+P36+T36</f>
        <v>115000</v>
      </c>
      <c r="Y36" s="8">
        <f t="shared" si="27"/>
        <v>-115000</v>
      </c>
      <c r="Z36" s="8">
        <f t="shared" si="27"/>
        <v>0</v>
      </c>
    </row>
    <row r="37" spans="2:26" x14ac:dyDescent="0.25">
      <c r="B37" s="2" t="s">
        <v>826</v>
      </c>
      <c r="D37" s="26">
        <f>SUM(D35:D36)</f>
        <v>0</v>
      </c>
      <c r="E37" s="26">
        <f>SUM(E35:E36)</f>
        <v>0</v>
      </c>
      <c r="F37" s="26">
        <f>D37+E37</f>
        <v>0</v>
      </c>
      <c r="H37" s="26">
        <f>SUM(H35:H36)</f>
        <v>0</v>
      </c>
      <c r="I37" s="26">
        <f>SUM(I35:I36)</f>
        <v>0</v>
      </c>
      <c r="J37" s="26">
        <f>H37+I37</f>
        <v>0</v>
      </c>
      <c r="L37" s="26">
        <f>SUM(L35:L36)</f>
        <v>0</v>
      </c>
      <c r="M37" s="26">
        <f>SUM(M35:M36)</f>
        <v>0</v>
      </c>
      <c r="N37" s="26">
        <f>L37+M37</f>
        <v>0</v>
      </c>
      <c r="P37" s="26">
        <f>SUM(P35:P36)</f>
        <v>148000</v>
      </c>
      <c r="Q37" s="26">
        <f>SUM(Q35:Q36)</f>
        <v>-148000</v>
      </c>
      <c r="R37" s="26">
        <f>P37+Q37</f>
        <v>0</v>
      </c>
      <c r="S37" s="1"/>
      <c r="T37" s="26">
        <f>SUM(T35:T36)</f>
        <v>0</v>
      </c>
      <c r="U37" s="26">
        <f>SUM(U35:U36)</f>
        <v>0</v>
      </c>
      <c r="V37" s="26">
        <f>T37+U37</f>
        <v>0</v>
      </c>
      <c r="X37" s="26">
        <f t="shared" si="27"/>
        <v>148000</v>
      </c>
      <c r="Y37" s="26">
        <f t="shared" si="27"/>
        <v>-148000</v>
      </c>
      <c r="Z37" s="26">
        <f t="shared" si="27"/>
        <v>0</v>
      </c>
    </row>
    <row r="38" spans="2:26" x14ac:dyDescent="0.25">
      <c r="H38" s="1"/>
      <c r="I38" s="1"/>
      <c r="J38" s="1"/>
      <c r="L38" s="1"/>
      <c r="M38" s="1"/>
      <c r="N38" s="1"/>
      <c r="P38" s="1"/>
      <c r="R38" s="1"/>
    </row>
    <row r="39" spans="2:26" x14ac:dyDescent="0.25">
      <c r="B39" s="5" t="s">
        <v>8</v>
      </c>
      <c r="H39" s="1"/>
      <c r="I39" s="1"/>
      <c r="J39" s="1"/>
      <c r="L39" s="1"/>
      <c r="M39" s="1"/>
      <c r="N39" s="1"/>
      <c r="P39" s="1"/>
      <c r="Q39" s="1"/>
    </row>
    <row r="40" spans="2:26" x14ac:dyDescent="0.25">
      <c r="B40" s="2" t="s">
        <v>7</v>
      </c>
      <c r="D40" s="1"/>
      <c r="E40" s="1"/>
      <c r="F40" s="1"/>
      <c r="H40" s="1"/>
      <c r="I40" s="1"/>
      <c r="J40" s="1"/>
      <c r="T40" s="9">
        <v>-19000</v>
      </c>
      <c r="U40" s="9">
        <v>0</v>
      </c>
      <c r="V40" s="8">
        <f>T40+U40</f>
        <v>-19000</v>
      </c>
      <c r="X40" s="8">
        <f t="shared" ref="X40:Y40" si="28">D40+H40+L40+P40+T40</f>
        <v>-19000</v>
      </c>
      <c r="Y40" s="8">
        <f t="shared" si="28"/>
        <v>0</v>
      </c>
      <c r="Z40" s="8">
        <f t="shared" ref="Z40" si="29">X40+Y40</f>
        <v>-19000</v>
      </c>
    </row>
    <row r="41" spans="2:26" x14ac:dyDescent="0.25">
      <c r="B41" s="2" t="s">
        <v>52</v>
      </c>
      <c r="D41" s="1"/>
      <c r="E41" s="1"/>
      <c r="F41" s="1"/>
      <c r="H41" s="1"/>
      <c r="I41" s="1"/>
      <c r="J41" s="1"/>
      <c r="T41" s="9">
        <v>-10000</v>
      </c>
      <c r="U41" s="9">
        <v>0</v>
      </c>
      <c r="V41" s="8">
        <f>T41+U41</f>
        <v>-10000</v>
      </c>
      <c r="X41" s="8">
        <f t="shared" ref="X41" si="30">D41+H41+L41+P41+T41</f>
        <v>-10000</v>
      </c>
      <c r="Y41" s="8">
        <f t="shared" ref="Y41" si="31">E41+I41+M41+Q41+U41</f>
        <v>0</v>
      </c>
      <c r="Z41" s="8">
        <f t="shared" ref="Z41" si="32">X41+Y41</f>
        <v>-10000</v>
      </c>
    </row>
    <row r="42" spans="2:26" x14ac:dyDescent="0.25">
      <c r="B42" s="2" t="s">
        <v>631</v>
      </c>
      <c r="C42" s="6" t="s">
        <v>630</v>
      </c>
      <c r="D42" s="1"/>
      <c r="E42" s="1"/>
      <c r="F42" s="1"/>
      <c r="H42" s="1"/>
      <c r="I42" s="1"/>
      <c r="J42" s="1"/>
      <c r="P42" s="9">
        <v>-6163.75</v>
      </c>
      <c r="Q42" s="9">
        <v>0</v>
      </c>
      <c r="R42" s="8">
        <f>P42+Q42</f>
        <v>-6163.75</v>
      </c>
      <c r="X42" s="8">
        <f t="shared" ref="X42" si="33">D42+H42+L42+P42+T42</f>
        <v>-6163.75</v>
      </c>
      <c r="Y42" s="8">
        <f t="shared" ref="Y42" si="34">E42+I42+M42+Q42+U42</f>
        <v>0</v>
      </c>
      <c r="Z42" s="8">
        <f t="shared" ref="Z42" si="35">X42+Y42</f>
        <v>-6163.75</v>
      </c>
    </row>
    <row r="43" spans="2:26" x14ac:dyDescent="0.25">
      <c r="B43" s="2" t="s">
        <v>632</v>
      </c>
      <c r="C43" s="6" t="s">
        <v>633</v>
      </c>
      <c r="D43" s="1"/>
      <c r="E43" s="1"/>
      <c r="F43" s="1"/>
      <c r="H43" s="1"/>
      <c r="I43" s="1"/>
      <c r="J43" s="1"/>
      <c r="P43" s="9">
        <v>-1968.24</v>
      </c>
      <c r="Q43" s="9">
        <v>0</v>
      </c>
      <c r="R43" s="8">
        <f>P43+Q43</f>
        <v>-1968.24</v>
      </c>
      <c r="X43" s="8">
        <f t="shared" ref="X43" si="36">D43+H43+L43+P43+T43</f>
        <v>-1968.24</v>
      </c>
      <c r="Y43" s="8">
        <f t="shared" ref="Y43" si="37">E43+I43+M43+Q43+U43</f>
        <v>0</v>
      </c>
      <c r="Z43" s="8">
        <f t="shared" ref="Z43" si="38">X43+Y43</f>
        <v>-1968.24</v>
      </c>
    </row>
    <row r="44" spans="2:26" x14ac:dyDescent="0.25">
      <c r="B44" s="2" t="s">
        <v>635</v>
      </c>
      <c r="C44" s="6" t="s">
        <v>634</v>
      </c>
      <c r="D44" s="9">
        <v>-35639.730000000003</v>
      </c>
      <c r="E44" s="9">
        <v>0</v>
      </c>
      <c r="F44" s="8">
        <f t="shared" ref="F44" si="39">D44+E44</f>
        <v>-35639.730000000003</v>
      </c>
      <c r="H44" s="1"/>
      <c r="I44" s="1"/>
      <c r="J44" s="1"/>
      <c r="X44" s="8">
        <f t="shared" ref="X44" si="40">D44+H44+L44+P44+T44</f>
        <v>-35639.730000000003</v>
      </c>
      <c r="Y44" s="8">
        <f t="shared" ref="Y44" si="41">E44+I44+M44+Q44+U44</f>
        <v>0</v>
      </c>
      <c r="Z44" s="8">
        <f t="shared" ref="Z44" si="42">X44+Y44</f>
        <v>-35639.730000000003</v>
      </c>
    </row>
    <row r="45" spans="2:26" x14ac:dyDescent="0.25">
      <c r="B45" s="2" t="s">
        <v>637</v>
      </c>
      <c r="C45" s="6" t="s">
        <v>638</v>
      </c>
      <c r="H45" s="1"/>
      <c r="I45" s="1"/>
      <c r="J45" s="1"/>
      <c r="P45" s="9">
        <v>-1980.37</v>
      </c>
      <c r="Q45" s="9">
        <v>0</v>
      </c>
      <c r="R45" s="8">
        <f>P45+Q45</f>
        <v>-1980.37</v>
      </c>
      <c r="X45" s="8">
        <f t="shared" ref="X45" si="43">D45+H45+L45+P45+T45</f>
        <v>-1980.37</v>
      </c>
      <c r="Y45" s="8">
        <f t="shared" ref="Y45" si="44">E45+I45+M45+Q45+U45</f>
        <v>0</v>
      </c>
      <c r="Z45" s="8">
        <f t="shared" ref="Z45" si="45">X45+Y45</f>
        <v>-1980.37</v>
      </c>
    </row>
    <row r="46" spans="2:26" x14ac:dyDescent="0.25">
      <c r="B46" s="2" t="s">
        <v>893</v>
      </c>
      <c r="C46" s="6" t="s">
        <v>647</v>
      </c>
      <c r="D46" s="1"/>
      <c r="E46" s="1"/>
      <c r="F46" s="1"/>
      <c r="H46" s="1"/>
      <c r="I46" s="1"/>
      <c r="J46" s="1"/>
      <c r="P46" s="9">
        <f>-69702 - 100000 - 32764.94 - 33000</f>
        <v>-235466.94</v>
      </c>
      <c r="Q46" s="9">
        <v>0</v>
      </c>
      <c r="R46" s="8">
        <f>P46+Q46</f>
        <v>-235466.94</v>
      </c>
      <c r="X46" s="8">
        <f t="shared" ref="X46:X65" si="46">D46+H46+L46+P46+T46</f>
        <v>-235466.94</v>
      </c>
      <c r="Y46" s="8">
        <f t="shared" ref="Y46:Y65" si="47">E46+I46+M46+Q46+U46</f>
        <v>0</v>
      </c>
      <c r="Z46" s="8">
        <f t="shared" ref="Z46" si="48">X46+Y46</f>
        <v>-235466.94</v>
      </c>
    </row>
    <row r="47" spans="2:26" x14ac:dyDescent="0.25">
      <c r="B47" s="2" t="s">
        <v>675</v>
      </c>
      <c r="C47" s="6" t="s">
        <v>676</v>
      </c>
      <c r="D47" s="1"/>
      <c r="E47" s="1"/>
      <c r="F47" s="1"/>
      <c r="H47" s="1"/>
      <c r="I47" s="1"/>
      <c r="J47" s="1"/>
      <c r="P47" s="9">
        <v>-48279.5</v>
      </c>
      <c r="Q47" s="9">
        <v>0</v>
      </c>
      <c r="R47" s="8">
        <f>P47+Q47</f>
        <v>-48279.5</v>
      </c>
      <c r="X47" s="8">
        <f t="shared" ref="X47" si="49">D47+H47+L47+P47+T47</f>
        <v>-48279.5</v>
      </c>
      <c r="Y47" s="8">
        <f t="shared" ref="Y47" si="50">E47+I47+M47+Q47+U47</f>
        <v>0</v>
      </c>
      <c r="Z47" s="8">
        <f t="shared" ref="Z47" si="51">X47+Y47</f>
        <v>-48279.5</v>
      </c>
    </row>
    <row r="48" spans="2:26" x14ac:dyDescent="0.25">
      <c r="B48" s="2" t="s">
        <v>763</v>
      </c>
      <c r="C48" s="6" t="s">
        <v>764</v>
      </c>
      <c r="D48" s="1"/>
      <c r="E48" s="1"/>
      <c r="F48" s="1"/>
      <c r="H48" s="1"/>
      <c r="I48" s="1"/>
      <c r="J48" s="1"/>
      <c r="P48" s="9">
        <v>-3000</v>
      </c>
      <c r="Q48" s="9">
        <v>0</v>
      </c>
      <c r="R48" s="8">
        <f>P48+Q48</f>
        <v>-3000</v>
      </c>
      <c r="X48" s="8">
        <f t="shared" ref="X48" si="52">D48+H48+L48+P48+T48</f>
        <v>-3000</v>
      </c>
      <c r="Y48" s="8">
        <f t="shared" ref="Y48" si="53">E48+I48+M48+Q48+U48</f>
        <v>0</v>
      </c>
      <c r="Z48" s="8">
        <f t="shared" ref="Z48" si="54">X48+Y48</f>
        <v>-3000</v>
      </c>
    </row>
    <row r="49" spans="2:26" x14ac:dyDescent="0.25">
      <c r="B49" s="2" t="s">
        <v>811</v>
      </c>
      <c r="C49" s="6" t="s">
        <v>798</v>
      </c>
      <c r="D49" s="1"/>
      <c r="E49" s="1"/>
      <c r="F49" s="1"/>
      <c r="H49" s="9">
        <v>-7702.5</v>
      </c>
      <c r="I49" s="9">
        <v>0</v>
      </c>
      <c r="J49" s="8">
        <f t="shared" ref="J49:J54" si="55">H49+I49</f>
        <v>-7702.5</v>
      </c>
      <c r="X49" s="8">
        <f t="shared" ref="X49" si="56">D49+H49+L49+P49+T49</f>
        <v>-7702.5</v>
      </c>
      <c r="Y49" s="8">
        <f t="shared" ref="Y49" si="57">E49+I49+M49+Q49+U49</f>
        <v>0</v>
      </c>
      <c r="Z49" s="8">
        <f t="shared" ref="Z49" si="58">X49+Y49</f>
        <v>-7702.5</v>
      </c>
    </row>
    <row r="50" spans="2:26" x14ac:dyDescent="0.25">
      <c r="B50" s="2" t="s">
        <v>793</v>
      </c>
      <c r="C50" s="6" t="s">
        <v>792</v>
      </c>
      <c r="D50" s="1"/>
      <c r="E50" s="1"/>
      <c r="F50" s="1"/>
      <c r="L50" s="9">
        <v>-1342.44</v>
      </c>
      <c r="M50" s="9">
        <v>0</v>
      </c>
      <c r="N50" s="8">
        <f t="shared" ref="N50" si="59">L50+M50</f>
        <v>-1342.44</v>
      </c>
      <c r="X50" s="8">
        <f t="shared" ref="X50" si="60">D50+H50+L50+P50+T50</f>
        <v>-1342.44</v>
      </c>
      <c r="Y50" s="8">
        <f t="shared" ref="Y50" si="61">E50+I50+M50+Q50+U50</f>
        <v>0</v>
      </c>
      <c r="Z50" s="8">
        <f t="shared" ref="Z50" si="62">X50+Y50</f>
        <v>-1342.44</v>
      </c>
    </row>
    <row r="51" spans="2:26" x14ac:dyDescent="0.25">
      <c r="B51" s="2" t="s">
        <v>800</v>
      </c>
      <c r="C51" s="6" t="s">
        <v>799</v>
      </c>
      <c r="D51" s="1"/>
      <c r="E51" s="1"/>
      <c r="F51" s="1"/>
      <c r="H51" s="9">
        <v>-62500</v>
      </c>
      <c r="I51" s="9">
        <v>0</v>
      </c>
      <c r="J51" s="8">
        <f t="shared" si="55"/>
        <v>-62500</v>
      </c>
      <c r="X51" s="8">
        <f t="shared" ref="X51" si="63">D51+H51+L51+P51+T51</f>
        <v>-62500</v>
      </c>
      <c r="Y51" s="8">
        <f t="shared" ref="Y51" si="64">E51+I51+M51+Q51+U51</f>
        <v>0</v>
      </c>
      <c r="Z51" s="8">
        <f t="shared" ref="Z51" si="65">X51+Y51</f>
        <v>-62500</v>
      </c>
    </row>
    <row r="52" spans="2:26" x14ac:dyDescent="0.25">
      <c r="B52" s="2" t="s">
        <v>802</v>
      </c>
      <c r="C52" s="6" t="s">
        <v>801</v>
      </c>
      <c r="D52" s="1"/>
      <c r="E52" s="1"/>
      <c r="F52" s="1"/>
      <c r="P52" s="9">
        <v>-30000</v>
      </c>
      <c r="Q52" s="9">
        <v>0</v>
      </c>
      <c r="R52" s="8">
        <f t="shared" ref="R52" si="66">P52+Q52</f>
        <v>-30000</v>
      </c>
      <c r="X52" s="8">
        <f t="shared" ref="X52" si="67">D52+H52+L52+P52+T52</f>
        <v>-30000</v>
      </c>
      <c r="Y52" s="8">
        <f t="shared" ref="Y52" si="68">E52+I52+M52+Q52+U52</f>
        <v>0</v>
      </c>
      <c r="Z52" s="8">
        <f t="shared" ref="Z52" si="69">X52+Y52</f>
        <v>-30000</v>
      </c>
    </row>
    <row r="53" spans="2:26" x14ac:dyDescent="0.25">
      <c r="B53" s="2" t="s">
        <v>803</v>
      </c>
      <c r="C53" s="6" t="s">
        <v>804</v>
      </c>
      <c r="D53" s="1"/>
      <c r="E53" s="1"/>
      <c r="F53" s="1"/>
      <c r="H53" s="9">
        <v>-8471.74</v>
      </c>
      <c r="I53" s="9">
        <v>0</v>
      </c>
      <c r="J53" s="8">
        <f t="shared" si="55"/>
        <v>-8471.74</v>
      </c>
      <c r="X53" s="8">
        <f t="shared" ref="X53" si="70">D53+H53+L53+P53+T53</f>
        <v>-8471.74</v>
      </c>
      <c r="Y53" s="8">
        <f t="shared" ref="Y53" si="71">E53+I53+M53+Q53+U53</f>
        <v>0</v>
      </c>
      <c r="Z53" s="8">
        <f t="shared" ref="Z53" si="72">X53+Y53</f>
        <v>-8471.74</v>
      </c>
    </row>
    <row r="54" spans="2:26" x14ac:dyDescent="0.25">
      <c r="B54" s="2" t="s">
        <v>806</v>
      </c>
      <c r="C54" s="6" t="s">
        <v>805</v>
      </c>
      <c r="D54" s="1"/>
      <c r="E54" s="1"/>
      <c r="F54" s="1"/>
      <c r="H54" s="9">
        <v>-59122.62</v>
      </c>
      <c r="I54" s="9">
        <v>0</v>
      </c>
      <c r="J54" s="8">
        <f t="shared" si="55"/>
        <v>-59122.62</v>
      </c>
      <c r="X54" s="8">
        <f t="shared" ref="X54" si="73">D54+H54+L54+P54+T54</f>
        <v>-59122.62</v>
      </c>
      <c r="Y54" s="8">
        <f t="shared" ref="Y54" si="74">E54+I54+M54+Q54+U54</f>
        <v>0</v>
      </c>
      <c r="Z54" s="8">
        <f t="shared" ref="Z54" si="75">X54+Y54</f>
        <v>-59122.62</v>
      </c>
    </row>
    <row r="55" spans="2:26" x14ac:dyDescent="0.25">
      <c r="B55" s="2" t="s">
        <v>852</v>
      </c>
      <c r="C55" s="6" t="s">
        <v>853</v>
      </c>
      <c r="E55" s="1"/>
      <c r="F55" s="1"/>
      <c r="H55" s="1"/>
      <c r="I55" s="1"/>
      <c r="J55" s="1"/>
      <c r="L55" s="9">
        <v>-4000</v>
      </c>
      <c r="M55" s="9">
        <v>0</v>
      </c>
      <c r="N55" s="8">
        <f t="shared" ref="N55:N56" si="76">L55+M55</f>
        <v>-4000</v>
      </c>
      <c r="P55" s="9">
        <v>-66000</v>
      </c>
      <c r="Q55" s="9">
        <v>0</v>
      </c>
      <c r="R55" s="8">
        <f t="shared" ref="R55:R56" si="77">P55+Q55</f>
        <v>-66000</v>
      </c>
      <c r="X55" s="8">
        <f t="shared" si="46"/>
        <v>-70000</v>
      </c>
      <c r="Y55" s="8">
        <f t="shared" si="47"/>
        <v>0</v>
      </c>
      <c r="Z55" s="8">
        <f t="shared" ref="Z55:Z65" si="78">F55+J55+N55+R55+V55</f>
        <v>-70000</v>
      </c>
    </row>
    <row r="56" spans="2:26" x14ac:dyDescent="0.25">
      <c r="B56" s="2" t="s">
        <v>854</v>
      </c>
      <c r="C56" s="6" t="s">
        <v>855</v>
      </c>
      <c r="E56" s="1"/>
      <c r="F56" s="1"/>
      <c r="H56" s="1"/>
      <c r="I56" s="1"/>
      <c r="J56" s="1"/>
      <c r="L56" s="9">
        <v>-140000</v>
      </c>
      <c r="M56" s="9">
        <v>0</v>
      </c>
      <c r="N56" s="8">
        <f t="shared" si="76"/>
        <v>-140000</v>
      </c>
      <c r="P56" s="9">
        <v>-60000</v>
      </c>
      <c r="Q56" s="9">
        <v>0</v>
      </c>
      <c r="R56" s="8">
        <f t="shared" si="77"/>
        <v>-60000</v>
      </c>
      <c r="X56" s="8">
        <f t="shared" si="46"/>
        <v>-200000</v>
      </c>
      <c r="Y56" s="8">
        <f t="shared" si="47"/>
        <v>0</v>
      </c>
      <c r="Z56" s="8">
        <f t="shared" si="78"/>
        <v>-200000</v>
      </c>
    </row>
    <row r="57" spans="2:26" x14ac:dyDescent="0.25">
      <c r="B57" s="2" t="s">
        <v>857</v>
      </c>
      <c r="C57" s="6" t="s">
        <v>856</v>
      </c>
      <c r="D57" s="9">
        <v>-200000</v>
      </c>
      <c r="E57" s="9">
        <v>0</v>
      </c>
      <c r="F57" s="8">
        <f t="shared" ref="F57" si="79">D57+E57</f>
        <v>-200000</v>
      </c>
      <c r="H57" s="1"/>
      <c r="I57" s="1"/>
      <c r="J57" s="1"/>
      <c r="M57" s="1"/>
      <c r="N57" s="1"/>
      <c r="X57" s="8">
        <f t="shared" si="46"/>
        <v>-200000</v>
      </c>
      <c r="Y57" s="8">
        <f t="shared" si="47"/>
        <v>0</v>
      </c>
      <c r="Z57" s="8">
        <f t="shared" si="78"/>
        <v>-200000</v>
      </c>
    </row>
    <row r="58" spans="2:26" x14ac:dyDescent="0.25">
      <c r="B58" s="2" t="s">
        <v>858</v>
      </c>
      <c r="C58" s="6" t="s">
        <v>859</v>
      </c>
      <c r="E58" s="1"/>
      <c r="F58" s="1"/>
      <c r="H58" s="1"/>
      <c r="I58" s="1"/>
      <c r="J58" s="1"/>
      <c r="M58" s="1"/>
      <c r="N58" s="1"/>
      <c r="P58" s="9">
        <v>-100000</v>
      </c>
      <c r="Q58" s="9">
        <v>0</v>
      </c>
      <c r="R58" s="8">
        <f t="shared" ref="R58" si="80">P58+Q58</f>
        <v>-100000</v>
      </c>
      <c r="X58" s="8">
        <f t="shared" si="46"/>
        <v>-100000</v>
      </c>
      <c r="Y58" s="8">
        <f t="shared" si="47"/>
        <v>0</v>
      </c>
      <c r="Z58" s="8">
        <f t="shared" si="78"/>
        <v>-100000</v>
      </c>
    </row>
    <row r="59" spans="2:26" x14ac:dyDescent="0.25">
      <c r="B59" s="2" t="s">
        <v>860</v>
      </c>
      <c r="C59" s="6" t="s">
        <v>861</v>
      </c>
      <c r="D59" s="9">
        <v>-63402</v>
      </c>
      <c r="E59" s="9">
        <v>0</v>
      </c>
      <c r="F59" s="8">
        <f t="shared" ref="F59" si="81">D59+E59</f>
        <v>-63402</v>
      </c>
      <c r="H59" s="1"/>
      <c r="I59" s="1"/>
      <c r="J59" s="1"/>
      <c r="M59" s="1"/>
      <c r="N59" s="1"/>
      <c r="X59" s="8">
        <f t="shared" si="46"/>
        <v>-63402</v>
      </c>
      <c r="Y59" s="8">
        <f t="shared" si="47"/>
        <v>0</v>
      </c>
      <c r="Z59" s="8">
        <f t="shared" si="78"/>
        <v>-63402</v>
      </c>
    </row>
    <row r="60" spans="2:26" x14ac:dyDescent="0.25">
      <c r="B60" s="2" t="s">
        <v>865</v>
      </c>
      <c r="C60" s="6" t="s">
        <v>862</v>
      </c>
      <c r="E60" s="1"/>
      <c r="F60" s="1"/>
      <c r="H60" s="9">
        <v>-153000</v>
      </c>
      <c r="I60" s="9">
        <v>0</v>
      </c>
      <c r="J60" s="8">
        <f t="shared" ref="J60:J61" si="82">H60+I60</f>
        <v>-153000</v>
      </c>
      <c r="M60" s="1"/>
      <c r="N60" s="1"/>
      <c r="X60" s="8">
        <f t="shared" si="46"/>
        <v>-153000</v>
      </c>
      <c r="Y60" s="8">
        <f t="shared" si="47"/>
        <v>0</v>
      </c>
      <c r="Z60" s="8">
        <f t="shared" si="78"/>
        <v>-153000</v>
      </c>
    </row>
    <row r="61" spans="2:26" x14ac:dyDescent="0.25">
      <c r="B61" s="2" t="s">
        <v>864</v>
      </c>
      <c r="C61" s="6" t="s">
        <v>863</v>
      </c>
      <c r="E61" s="1"/>
      <c r="F61" s="1"/>
      <c r="H61" s="9">
        <v>-70000</v>
      </c>
      <c r="I61" s="9">
        <v>0</v>
      </c>
      <c r="J61" s="8">
        <f t="shared" si="82"/>
        <v>-70000</v>
      </c>
      <c r="M61" s="1"/>
      <c r="N61" s="1"/>
      <c r="X61" s="8">
        <f t="shared" si="46"/>
        <v>-70000</v>
      </c>
      <c r="Y61" s="8">
        <f t="shared" si="47"/>
        <v>0</v>
      </c>
      <c r="Z61" s="8">
        <f t="shared" si="78"/>
        <v>-70000</v>
      </c>
    </row>
    <row r="62" spans="2:26" x14ac:dyDescent="0.25">
      <c r="B62" s="2" t="s">
        <v>866</v>
      </c>
      <c r="C62" s="6" t="s">
        <v>867</v>
      </c>
      <c r="E62" s="1"/>
      <c r="F62" s="1"/>
      <c r="H62" s="1"/>
      <c r="I62" s="1"/>
      <c r="J62" s="1"/>
      <c r="M62" s="1"/>
      <c r="N62" s="1"/>
      <c r="P62" s="9">
        <v>-84330</v>
      </c>
      <c r="Q62" s="9">
        <v>0</v>
      </c>
      <c r="R62" s="8">
        <f t="shared" ref="R62:R63" si="83">P62+Q62</f>
        <v>-84330</v>
      </c>
      <c r="X62" s="8">
        <f t="shared" si="46"/>
        <v>-84330</v>
      </c>
      <c r="Y62" s="8">
        <f t="shared" si="47"/>
        <v>0</v>
      </c>
      <c r="Z62" s="8">
        <f t="shared" si="78"/>
        <v>-84330</v>
      </c>
    </row>
    <row r="63" spans="2:26" x14ac:dyDescent="0.25">
      <c r="B63" s="2" t="s">
        <v>868</v>
      </c>
      <c r="C63" s="6" t="s">
        <v>869</v>
      </c>
      <c r="E63" s="1"/>
      <c r="F63" s="1"/>
      <c r="H63" s="1"/>
      <c r="I63" s="1"/>
      <c r="J63" s="1"/>
      <c r="M63" s="1"/>
      <c r="N63" s="1"/>
      <c r="P63" s="9">
        <f>-352963 - 115000</f>
        <v>-467963</v>
      </c>
      <c r="Q63" s="9">
        <v>0</v>
      </c>
      <c r="R63" s="8">
        <f t="shared" si="83"/>
        <v>-467963</v>
      </c>
      <c r="X63" s="8">
        <f t="shared" si="46"/>
        <v>-467963</v>
      </c>
      <c r="Y63" s="8">
        <f t="shared" si="47"/>
        <v>0</v>
      </c>
      <c r="Z63" s="8">
        <f t="shared" si="78"/>
        <v>-467963</v>
      </c>
    </row>
    <row r="64" spans="2:26" x14ac:dyDescent="0.25">
      <c r="B64" s="2" t="s">
        <v>870</v>
      </c>
      <c r="C64" s="6" t="s">
        <v>871</v>
      </c>
      <c r="E64" s="1"/>
      <c r="F64" s="1"/>
      <c r="H64" s="9">
        <v>-62675</v>
      </c>
      <c r="I64" s="9">
        <v>0</v>
      </c>
      <c r="J64" s="8">
        <f t="shared" ref="J64:J65" si="84">H64+I64</f>
        <v>-62675</v>
      </c>
      <c r="M64" s="1"/>
      <c r="N64" s="1"/>
      <c r="X64" s="8">
        <f t="shared" si="46"/>
        <v>-62675</v>
      </c>
      <c r="Y64" s="8">
        <f t="shared" si="47"/>
        <v>0</v>
      </c>
      <c r="Z64" s="8">
        <f t="shared" si="78"/>
        <v>-62675</v>
      </c>
    </row>
    <row r="65" spans="2:26" ht="15.75" thickBot="1" x14ac:dyDescent="0.3">
      <c r="B65" s="2" t="s">
        <v>872</v>
      </c>
      <c r="C65" s="6" t="s">
        <v>873</v>
      </c>
      <c r="E65" s="1"/>
      <c r="F65" s="1"/>
      <c r="H65" s="9">
        <v>-158972</v>
      </c>
      <c r="I65" s="9">
        <v>0</v>
      </c>
      <c r="J65" s="8">
        <f t="shared" si="84"/>
        <v>-158972</v>
      </c>
      <c r="M65" s="1"/>
      <c r="N65" s="1"/>
      <c r="X65" s="8">
        <f t="shared" si="46"/>
        <v>-158972</v>
      </c>
      <c r="Y65" s="8">
        <f t="shared" si="47"/>
        <v>0</v>
      </c>
      <c r="Z65" s="8">
        <f t="shared" si="78"/>
        <v>-158972</v>
      </c>
    </row>
    <row r="66" spans="2:26" x14ac:dyDescent="0.25">
      <c r="B66" s="2" t="s">
        <v>31</v>
      </c>
      <c r="C66" s="2"/>
      <c r="D66" s="26">
        <f>SUM(D40:D65)</f>
        <v>-299041.73</v>
      </c>
      <c r="E66" s="26">
        <f>SUM(E40:E65)</f>
        <v>0</v>
      </c>
      <c r="F66" s="26">
        <f>D66+E66</f>
        <v>-299041.73</v>
      </c>
      <c r="H66" s="26">
        <f>SUM(H40:H65)</f>
        <v>-582443.86</v>
      </c>
      <c r="I66" s="26">
        <f>SUM(I40:I65)</f>
        <v>0</v>
      </c>
      <c r="J66" s="26">
        <f>H66+I66</f>
        <v>-582443.86</v>
      </c>
      <c r="L66" s="26">
        <f>SUM(L40:L65)</f>
        <v>-145342.44</v>
      </c>
      <c r="M66" s="26">
        <f>SUM(M40:M65)</f>
        <v>0</v>
      </c>
      <c r="N66" s="26">
        <f>L66+M66</f>
        <v>-145342.44</v>
      </c>
      <c r="P66" s="26">
        <f>SUM(P40:P65)</f>
        <v>-1105151.8</v>
      </c>
      <c r="Q66" s="26">
        <f>SUM(Q40:Q65)</f>
        <v>0</v>
      </c>
      <c r="R66" s="26">
        <f>P66+Q66</f>
        <v>-1105151.8</v>
      </c>
      <c r="S66" s="1"/>
      <c r="T66" s="26">
        <f>SUM(T40:T65)</f>
        <v>-29000</v>
      </c>
      <c r="U66" s="26">
        <f>SUM(U40:U65)</f>
        <v>0</v>
      </c>
      <c r="V66" s="26">
        <f>T66+U66</f>
        <v>-29000</v>
      </c>
      <c r="X66" s="26">
        <f>SUM(X40:X65)</f>
        <v>-2160979.83</v>
      </c>
      <c r="Y66" s="26">
        <f>SUM(Y40:Y65)</f>
        <v>0</v>
      </c>
      <c r="Z66" s="26">
        <f>X66+Y66</f>
        <v>-2160979.83</v>
      </c>
    </row>
    <row r="67" spans="2:26" x14ac:dyDescent="0.25">
      <c r="D67" s="1"/>
      <c r="E67" s="1"/>
      <c r="F67" s="1"/>
      <c r="H67" s="1"/>
      <c r="I67" s="1"/>
      <c r="J67" s="1"/>
      <c r="L67" s="1"/>
      <c r="M67" s="1"/>
      <c r="N67" s="1"/>
      <c r="P67" s="1"/>
      <c r="R67" s="1"/>
      <c r="U67" s="1"/>
      <c r="V67" s="1"/>
      <c r="X67" s="1"/>
    </row>
    <row r="68" spans="2:26" x14ac:dyDescent="0.25">
      <c r="B68" s="5" t="s">
        <v>10</v>
      </c>
      <c r="C68" s="5"/>
      <c r="D68" s="1"/>
      <c r="E68" s="1"/>
      <c r="F68" s="1"/>
      <c r="L68" s="1"/>
      <c r="M68" s="1"/>
      <c r="N68" s="1"/>
    </row>
    <row r="69" spans="2:26" x14ac:dyDescent="0.25">
      <c r="B69" s="2" t="s">
        <v>7</v>
      </c>
      <c r="C69" s="2"/>
      <c r="T69" s="9">
        <v>0</v>
      </c>
      <c r="U69" s="8">
        <f>-T69</f>
        <v>0</v>
      </c>
      <c r="V69" s="8">
        <f>T69+U69</f>
        <v>0</v>
      </c>
      <c r="X69" s="8">
        <f t="shared" ref="X69:Y71" si="85">D69+H69+L69+P69+T69</f>
        <v>0</v>
      </c>
      <c r="Y69" s="8">
        <f t="shared" si="85"/>
        <v>0</v>
      </c>
      <c r="Z69" s="8">
        <f>X69+Y69</f>
        <v>0</v>
      </c>
    </row>
    <row r="70" spans="2:26" x14ac:dyDescent="0.25">
      <c r="B70" s="2" t="s">
        <v>52</v>
      </c>
      <c r="C70" s="2"/>
      <c r="T70" s="9">
        <v>0</v>
      </c>
      <c r="U70" s="8">
        <f>-T70</f>
        <v>0</v>
      </c>
      <c r="V70" s="8">
        <f>T70+U70</f>
        <v>0</v>
      </c>
      <c r="X70" s="8">
        <f t="shared" ref="X70" si="86">D70+H70+L70+P70+T70</f>
        <v>0</v>
      </c>
      <c r="Y70" s="8">
        <f t="shared" ref="Y70" si="87">E70+I70+M70+Q70+U70</f>
        <v>0</v>
      </c>
      <c r="Z70" s="8">
        <f>X70+Y70</f>
        <v>0</v>
      </c>
    </row>
    <row r="71" spans="2:26" ht="15.75" thickBot="1" x14ac:dyDescent="0.3">
      <c r="B71" s="2" t="s">
        <v>893</v>
      </c>
      <c r="C71" s="6" t="s">
        <v>647</v>
      </c>
      <c r="P71" s="9">
        <v>-0.06</v>
      </c>
      <c r="Q71" s="8">
        <f>-P71</f>
        <v>0.06</v>
      </c>
      <c r="R71" s="8">
        <f>P71+Q71</f>
        <v>0</v>
      </c>
      <c r="T71" s="9">
        <v>0</v>
      </c>
      <c r="U71" s="8">
        <f>-T71</f>
        <v>0</v>
      </c>
      <c r="V71" s="8">
        <f>T71+U71</f>
        <v>0</v>
      </c>
      <c r="X71" s="8">
        <f t="shared" si="85"/>
        <v>-0.06</v>
      </c>
      <c r="Y71" s="8">
        <f t="shared" si="85"/>
        <v>0.06</v>
      </c>
      <c r="Z71" s="8">
        <f>X71+Y71</f>
        <v>0</v>
      </c>
    </row>
    <row r="72" spans="2:26" x14ac:dyDescent="0.25">
      <c r="B72" s="2" t="s">
        <v>39</v>
      </c>
      <c r="C72" s="2"/>
      <c r="D72" s="26">
        <f>SUM(D69:D71)</f>
        <v>0</v>
      </c>
      <c r="E72" s="26">
        <f>SUM(E69:E71)</f>
        <v>0</v>
      </c>
      <c r="F72" s="26">
        <f>D72+E72</f>
        <v>0</v>
      </c>
      <c r="H72" s="26">
        <f>SUM(H69:H71)</f>
        <v>0</v>
      </c>
      <c r="I72" s="26">
        <f>SUM(I69:I71)</f>
        <v>0</v>
      </c>
      <c r="J72" s="26">
        <f>H72+I72</f>
        <v>0</v>
      </c>
      <c r="L72" s="26">
        <f>SUM(L69:L71)</f>
        <v>0</v>
      </c>
      <c r="M72" s="26">
        <f>SUM(M69:M71)</f>
        <v>0</v>
      </c>
      <c r="N72" s="26">
        <f>L72+M72</f>
        <v>0</v>
      </c>
      <c r="P72" s="26">
        <f>SUM(P69:P71)</f>
        <v>-0.06</v>
      </c>
      <c r="Q72" s="26">
        <f>SUM(Q69:Q71)</f>
        <v>0.06</v>
      </c>
      <c r="R72" s="26">
        <f>P72+Q72</f>
        <v>0</v>
      </c>
      <c r="S72" s="1"/>
      <c r="T72" s="26">
        <f>SUM(T69:T71)</f>
        <v>0</v>
      </c>
      <c r="U72" s="26">
        <f>SUM(U69:U71)</f>
        <v>0</v>
      </c>
      <c r="V72" s="26">
        <f>T72+U72</f>
        <v>0</v>
      </c>
      <c r="X72" s="26">
        <f>SUM(X69:X71)</f>
        <v>-0.06</v>
      </c>
      <c r="Y72" s="26">
        <f>SUM(Y69:Y71)</f>
        <v>0.06</v>
      </c>
      <c r="Z72" s="26">
        <f>X72+Y72</f>
        <v>0</v>
      </c>
    </row>
    <row r="73" spans="2:26" x14ac:dyDescent="0.25">
      <c r="L73" s="1"/>
      <c r="M73" s="1"/>
      <c r="N73" s="1"/>
      <c r="P73" s="1"/>
      <c r="R73" s="1"/>
    </row>
    <row r="74" spans="2:26" x14ac:dyDescent="0.25">
      <c r="B74" s="2" t="s">
        <v>827</v>
      </c>
      <c r="C74" s="2"/>
      <c r="D74" s="8">
        <f>D7+D15+D32+D37+D66+D72</f>
        <v>0</v>
      </c>
      <c r="E74" s="8">
        <f>E7+E15+E32+E37+E66+E72</f>
        <v>48809.98000000001</v>
      </c>
      <c r="F74" s="8">
        <f>D74+E74</f>
        <v>48809.98000000001</v>
      </c>
      <c r="H74" s="8">
        <f>H7+H15+H32+H37+H66+H72</f>
        <v>0</v>
      </c>
      <c r="I74" s="8">
        <f>I7+I15+I32+I37+I66+I72</f>
        <v>30072.739999999991</v>
      </c>
      <c r="J74" s="8">
        <f>H74+I74</f>
        <v>30072.739999999991</v>
      </c>
      <c r="L74" s="8">
        <f>L7+L15+L32+L37+L66+L72</f>
        <v>0</v>
      </c>
      <c r="M74" s="8">
        <f>M7+M15+M32+M37+M66+M72</f>
        <v>26825.01999999999</v>
      </c>
      <c r="N74" s="8">
        <f>L74+M74</f>
        <v>26825.01999999999</v>
      </c>
      <c r="P74" s="8">
        <f>P7+P15+P32+P37+P66+P72</f>
        <v>5.587935669737476E-11</v>
      </c>
      <c r="Q74" s="8">
        <f>Q7+Q15+Q32+Q37+Q66+Q72</f>
        <v>72492.639999999956</v>
      </c>
      <c r="R74" s="8">
        <f>P74+Q74</f>
        <v>72492.640000000014</v>
      </c>
      <c r="T74" s="8">
        <f>T7+T15+T32+T37+T66+T72</f>
        <v>0</v>
      </c>
      <c r="U74" s="8">
        <f>U7+U15+U32+U37+U66+U72</f>
        <v>0</v>
      </c>
      <c r="V74" s="8">
        <f>T74+U74</f>
        <v>0</v>
      </c>
      <c r="X74" s="8">
        <f>D74+H74+L74+P74+T74</f>
        <v>5.587935669737476E-11</v>
      </c>
      <c r="Y74" s="8">
        <f>E74+I74+M74+Q74+U74</f>
        <v>178200.37999999995</v>
      </c>
      <c r="Z74" s="8">
        <f>X74+Y74</f>
        <v>178200.38</v>
      </c>
    </row>
    <row r="76" spans="2:26" x14ac:dyDescent="0.25">
      <c r="B76" s="5" t="s">
        <v>875</v>
      </c>
      <c r="C76" s="5"/>
      <c r="L76" s="1"/>
      <c r="M76" s="1"/>
      <c r="N76" s="1"/>
      <c r="P76" s="1"/>
    </row>
    <row r="77" spans="2:26" ht="15.75" thickBot="1" x14ac:dyDescent="0.3">
      <c r="B77" s="2" t="s">
        <v>244</v>
      </c>
      <c r="C77" s="2"/>
      <c r="D77" s="14">
        <v>0</v>
      </c>
      <c r="E77" s="14">
        <v>0</v>
      </c>
      <c r="F77" s="8">
        <f>D77+E77</f>
        <v>0</v>
      </c>
      <c r="H77" s="14">
        <v>0</v>
      </c>
      <c r="I77" s="14">
        <v>0</v>
      </c>
      <c r="J77" s="12">
        <f>H77+I77</f>
        <v>0</v>
      </c>
      <c r="L77" s="14">
        <v>0</v>
      </c>
      <c r="M77" s="14">
        <v>0</v>
      </c>
      <c r="N77" s="8">
        <f>L77+M77</f>
        <v>0</v>
      </c>
      <c r="P77" s="14">
        <v>0</v>
      </c>
      <c r="Q77" s="14">
        <v>0</v>
      </c>
      <c r="R77" s="8">
        <f>P77+Q77</f>
        <v>0</v>
      </c>
      <c r="T77" s="14">
        <v>0</v>
      </c>
      <c r="U77" s="14">
        <v>0</v>
      </c>
      <c r="V77" s="8">
        <f>T77+U77</f>
        <v>0</v>
      </c>
      <c r="X77" s="8">
        <f>D77+H77+L77+P77+T77</f>
        <v>0</v>
      </c>
      <c r="Y77" s="8">
        <f>E77+I77+M77+Q77+U77</f>
        <v>0</v>
      </c>
      <c r="Z77" s="8">
        <f>X77+Y77</f>
        <v>0</v>
      </c>
    </row>
    <row r="78" spans="2:26" x14ac:dyDescent="0.25">
      <c r="B78" s="2" t="s">
        <v>828</v>
      </c>
      <c r="C78" s="2"/>
      <c r="D78" s="26">
        <f>SUM(D77:D77)</f>
        <v>0</v>
      </c>
      <c r="E78" s="26">
        <f>SUM(E77:E77)</f>
        <v>0</v>
      </c>
      <c r="F78" s="26">
        <f>D78+E78</f>
        <v>0</v>
      </c>
      <c r="H78" s="26">
        <f>SUM(H77:H77)</f>
        <v>0</v>
      </c>
      <c r="I78" s="26">
        <f>SUM(I77:I77)</f>
        <v>0</v>
      </c>
      <c r="J78" s="26">
        <f>H78+I78</f>
        <v>0</v>
      </c>
      <c r="L78" s="26">
        <f>SUM(L77:L77)</f>
        <v>0</v>
      </c>
      <c r="M78" s="26">
        <f>SUM(M77:M77)</f>
        <v>0</v>
      </c>
      <c r="N78" s="26">
        <f>L78+M78</f>
        <v>0</v>
      </c>
      <c r="P78" s="26">
        <f>SUM(P77:P77)</f>
        <v>0</v>
      </c>
      <c r="Q78" s="26">
        <f>SUM(Q77:Q77)</f>
        <v>0</v>
      </c>
      <c r="R78" s="26">
        <f>P78+Q78</f>
        <v>0</v>
      </c>
      <c r="S78" s="1"/>
      <c r="T78" s="26">
        <f>SUM(T77:T77)</f>
        <v>0</v>
      </c>
      <c r="U78" s="26">
        <f>SUM(U77:U77)</f>
        <v>0</v>
      </c>
      <c r="V78" s="26">
        <f>T78+U78</f>
        <v>0</v>
      </c>
      <c r="X78" s="26">
        <f>D78+H78+L78+P78+T78</f>
        <v>0</v>
      </c>
      <c r="Y78" s="26">
        <f>E78+I78+M78+Q78+U78</f>
        <v>0</v>
      </c>
      <c r="Z78" s="26">
        <f>X78+Y78</f>
        <v>0</v>
      </c>
    </row>
    <row r="79" spans="2:26" x14ac:dyDescent="0.25">
      <c r="B79" s="2"/>
      <c r="C79" s="2"/>
    </row>
    <row r="80" spans="2:26" ht="15.75" thickBot="1" x14ac:dyDescent="0.3">
      <c r="B80" s="2" t="s">
        <v>829</v>
      </c>
      <c r="C80" s="2"/>
      <c r="D80" s="17">
        <f>ROUND(D74+D78,2)</f>
        <v>0</v>
      </c>
      <c r="E80" s="17">
        <f>ROUND(E74+E78,2)</f>
        <v>48809.98</v>
      </c>
      <c r="F80" s="17">
        <f>D80+E80</f>
        <v>48809.98</v>
      </c>
      <c r="H80" s="17">
        <f>ROUND(H74+H78,2)</f>
        <v>0</v>
      </c>
      <c r="I80" s="17">
        <f>ROUND(I74+I78,2)</f>
        <v>30072.74</v>
      </c>
      <c r="J80" s="17">
        <f>H80+I80</f>
        <v>30072.74</v>
      </c>
      <c r="L80" s="17">
        <f>ROUND(L74+L78,2)</f>
        <v>0</v>
      </c>
      <c r="M80" s="17">
        <f>ROUND(M74+M78,2)</f>
        <v>26825.02</v>
      </c>
      <c r="N80" s="17">
        <f>L80+M80</f>
        <v>26825.02</v>
      </c>
      <c r="P80" s="17">
        <f>ROUND(P74+P78,2)</f>
        <v>0</v>
      </c>
      <c r="Q80" s="17">
        <f>ROUND(Q74+Q78,2)</f>
        <v>72492.639999999999</v>
      </c>
      <c r="R80" s="17">
        <f>P80+Q80</f>
        <v>72492.639999999999</v>
      </c>
      <c r="T80" s="17">
        <f>ROUND(T74+T78,2)</f>
        <v>0</v>
      </c>
      <c r="U80" s="17">
        <f>ROUND(U74+U78,2)</f>
        <v>0</v>
      </c>
      <c r="V80" s="17">
        <f>T80+U80</f>
        <v>0</v>
      </c>
      <c r="X80" s="17">
        <f>D80+H80+L80+P80+T80</f>
        <v>0</v>
      </c>
      <c r="Y80" s="17">
        <f>E80+I80+M80+Q80+U80</f>
        <v>178200.38</v>
      </c>
      <c r="Z80" s="17">
        <f>X80+Y80</f>
        <v>178200.38</v>
      </c>
    </row>
    <row r="81" spans="1:26" ht="15.75" thickTop="1" x14ac:dyDescent="0.25">
      <c r="B81" s="2"/>
      <c r="C81" s="2"/>
    </row>
    <row r="82" spans="1:26" x14ac:dyDescent="0.25">
      <c r="B82" s="2"/>
      <c r="C82" s="2"/>
      <c r="Q82" s="1"/>
    </row>
    <row r="83" spans="1:26" x14ac:dyDescent="0.25">
      <c r="A83" s="35" t="s">
        <v>54</v>
      </c>
      <c r="B83" s="35"/>
      <c r="C83" s="19"/>
    </row>
    <row r="85" spans="1:26" x14ac:dyDescent="0.25">
      <c r="B85" s="5" t="s">
        <v>830</v>
      </c>
      <c r="C85" s="5"/>
      <c r="T85" s="1"/>
    </row>
    <row r="86" spans="1:26" x14ac:dyDescent="0.25">
      <c r="B86" s="2" t="s">
        <v>831</v>
      </c>
      <c r="C86" s="2"/>
      <c r="D86" s="9">
        <v>0</v>
      </c>
      <c r="E86" s="9">
        <f>ROUND(850000/10,2)</f>
        <v>85000</v>
      </c>
      <c r="F86" s="8">
        <f>D86+E86</f>
        <v>85000</v>
      </c>
      <c r="H86" s="9">
        <v>0</v>
      </c>
      <c r="I86" s="9">
        <f>ROUND(850000/10,2)</f>
        <v>85000</v>
      </c>
      <c r="J86" s="8">
        <f>H86+I86</f>
        <v>85000</v>
      </c>
      <c r="L86" s="9">
        <v>0</v>
      </c>
      <c r="M86" s="9">
        <f>ROUND(850000/10,2)</f>
        <v>85000</v>
      </c>
      <c r="N86" s="8">
        <f>L86+M86</f>
        <v>85000</v>
      </c>
      <c r="P86" s="9">
        <v>0</v>
      </c>
      <c r="Q86" s="9">
        <f>850000-E86-I86-M86</f>
        <v>595000</v>
      </c>
      <c r="R86" s="8">
        <f>P86+Q86</f>
        <v>595000</v>
      </c>
      <c r="T86" s="1"/>
      <c r="U86" s="1"/>
      <c r="V86" s="1"/>
      <c r="X86" s="8">
        <f t="shared" ref="X86:Z89" si="88">D86+H86+L86+P86+T86</f>
        <v>0</v>
      </c>
      <c r="Y86" s="8">
        <f t="shared" si="88"/>
        <v>850000</v>
      </c>
      <c r="Z86" s="8">
        <f t="shared" si="88"/>
        <v>850000</v>
      </c>
    </row>
    <row r="87" spans="1:26" x14ac:dyDescent="0.25">
      <c r="B87" s="2" t="s">
        <v>832</v>
      </c>
      <c r="C87" s="2"/>
      <c r="D87" s="9">
        <v>0</v>
      </c>
      <c r="E87" s="9">
        <f>ROUND(850000*0.25/10,2)</f>
        <v>21250</v>
      </c>
      <c r="F87" s="8">
        <f>D87+E87</f>
        <v>21250</v>
      </c>
      <c r="H87" s="9">
        <v>0</v>
      </c>
      <c r="I87" s="9">
        <f>ROUND(850000*0.25/10,2)</f>
        <v>21250</v>
      </c>
      <c r="J87" s="8">
        <f>H87+I87</f>
        <v>21250</v>
      </c>
      <c r="L87" s="9">
        <v>0</v>
      </c>
      <c r="M87" s="9">
        <f>ROUND(850000*0.25/10,2)</f>
        <v>21250</v>
      </c>
      <c r="N87" s="8">
        <f>L87+M87</f>
        <v>21250</v>
      </c>
      <c r="P87" s="9">
        <v>0</v>
      </c>
      <c r="Q87" s="9">
        <f>850000*0.25-E87-I87-M87</f>
        <v>148750</v>
      </c>
      <c r="R87" s="8">
        <f>P87+Q87</f>
        <v>148750</v>
      </c>
      <c r="X87" s="8">
        <f t="shared" si="88"/>
        <v>0</v>
      </c>
      <c r="Y87" s="8">
        <f t="shared" si="88"/>
        <v>212500</v>
      </c>
      <c r="Z87" s="8">
        <f t="shared" si="88"/>
        <v>212500</v>
      </c>
    </row>
    <row r="88" spans="1:26" ht="15.75" thickBot="1" x14ac:dyDescent="0.3">
      <c r="B88" s="2" t="s">
        <v>833</v>
      </c>
      <c r="C88" s="2"/>
      <c r="D88" s="14">
        <v>0</v>
      </c>
      <c r="E88" s="9">
        <f>7410/10</f>
        <v>741</v>
      </c>
      <c r="F88" s="15">
        <f>D88+E88</f>
        <v>741</v>
      </c>
      <c r="H88" s="14">
        <v>0</v>
      </c>
      <c r="I88" s="9">
        <f>7410/10</f>
        <v>741</v>
      </c>
      <c r="J88" s="15">
        <f>H88+I88</f>
        <v>741</v>
      </c>
      <c r="L88" s="14">
        <v>0</v>
      </c>
      <c r="M88" s="9">
        <f>7410/10</f>
        <v>741</v>
      </c>
      <c r="N88" s="15">
        <f>L88+M88</f>
        <v>741</v>
      </c>
      <c r="P88" s="14">
        <v>0</v>
      </c>
      <c r="Q88" s="14">
        <f>7410-E88-I88-M88</f>
        <v>5187</v>
      </c>
      <c r="R88" s="15">
        <f>P88+Q88</f>
        <v>5187</v>
      </c>
      <c r="X88" s="15">
        <f t="shared" si="88"/>
        <v>0</v>
      </c>
      <c r="Y88" s="15">
        <f t="shared" si="88"/>
        <v>7410</v>
      </c>
      <c r="Z88" s="15">
        <f t="shared" si="88"/>
        <v>7410</v>
      </c>
    </row>
    <row r="89" spans="1:26" x14ac:dyDescent="0.25">
      <c r="B89" s="2" t="s">
        <v>834</v>
      </c>
      <c r="C89" s="2"/>
      <c r="D89" s="26">
        <f>SUM(D86:D88)</f>
        <v>0</v>
      </c>
      <c r="E89" s="26">
        <f>SUM(E86:E88)</f>
        <v>106991</v>
      </c>
      <c r="F89" s="26">
        <f>D89+E89</f>
        <v>106991</v>
      </c>
      <c r="H89" s="26">
        <f>SUM(H86:H88)</f>
        <v>0</v>
      </c>
      <c r="I89" s="26">
        <f>SUM(I86:I88)</f>
        <v>106991</v>
      </c>
      <c r="J89" s="26">
        <f>H89+I89</f>
        <v>106991</v>
      </c>
      <c r="L89" s="26">
        <f>SUM(L86:L88)</f>
        <v>0</v>
      </c>
      <c r="M89" s="26">
        <f>SUM(M86:M88)</f>
        <v>106991</v>
      </c>
      <c r="N89" s="26">
        <f>L89+M89</f>
        <v>106991</v>
      </c>
      <c r="P89" s="26">
        <f>SUM(P86:P88)</f>
        <v>0</v>
      </c>
      <c r="Q89" s="26">
        <f>SUM(Q86:Q88)</f>
        <v>748937</v>
      </c>
      <c r="R89" s="26">
        <f>P89+Q89</f>
        <v>748937</v>
      </c>
      <c r="S89" s="1"/>
      <c r="T89" s="26">
        <f>SUM(T86:T88)</f>
        <v>0</v>
      </c>
      <c r="U89" s="26">
        <f>SUM(U86:U88)</f>
        <v>0</v>
      </c>
      <c r="V89" s="26">
        <f>T89+U89</f>
        <v>0</v>
      </c>
      <c r="X89" s="26">
        <f t="shared" si="88"/>
        <v>0</v>
      </c>
      <c r="Y89" s="26">
        <f t="shared" si="88"/>
        <v>1069910</v>
      </c>
      <c r="Z89" s="26">
        <f t="shared" si="88"/>
        <v>1069910</v>
      </c>
    </row>
    <row r="90" spans="1:26" x14ac:dyDescent="0.25">
      <c r="B90" s="2"/>
      <c r="C90" s="2"/>
    </row>
    <row r="91" spans="1:26" x14ac:dyDescent="0.25">
      <c r="B91" s="5" t="s">
        <v>835</v>
      </c>
      <c r="C91" s="5"/>
      <c r="T91" s="1"/>
    </row>
    <row r="92" spans="1:26" ht="15.75" thickBot="1" x14ac:dyDescent="0.3">
      <c r="B92" s="2" t="s">
        <v>86</v>
      </c>
      <c r="C92" s="2"/>
      <c r="H92" s="1"/>
      <c r="I92" s="1"/>
      <c r="J92" s="1"/>
      <c r="L92" s="1"/>
      <c r="M92" s="1"/>
      <c r="P92" s="9">
        <v>0</v>
      </c>
      <c r="Q92" s="8">
        <v>-29000</v>
      </c>
      <c r="R92" s="8">
        <f>P92+Q92</f>
        <v>-29000</v>
      </c>
      <c r="T92" s="9">
        <f>-Q92</f>
        <v>29000</v>
      </c>
      <c r="U92" s="9">
        <v>0</v>
      </c>
      <c r="V92" s="8">
        <f>T92+U92</f>
        <v>29000</v>
      </c>
      <c r="X92" s="8">
        <f t="shared" ref="X92:Z93" si="89">D92+H92+L92+P92+T92</f>
        <v>29000</v>
      </c>
      <c r="Y92" s="8">
        <f t="shared" si="89"/>
        <v>-29000</v>
      </c>
      <c r="Z92" s="8">
        <f t="shared" si="89"/>
        <v>0</v>
      </c>
    </row>
    <row r="93" spans="1:26" x14ac:dyDescent="0.25">
      <c r="B93" s="2" t="s">
        <v>786</v>
      </c>
      <c r="C93" s="2"/>
      <c r="D93" s="26">
        <f>SUM(D92:D92)</f>
        <v>0</v>
      </c>
      <c r="E93" s="26">
        <f>SUM(E92:E92)</f>
        <v>0</v>
      </c>
      <c r="F93" s="26">
        <f>D93+E93</f>
        <v>0</v>
      </c>
      <c r="H93" s="26">
        <f>SUM(H92:H92)</f>
        <v>0</v>
      </c>
      <c r="I93" s="26">
        <f>SUM(I92:I92)</f>
        <v>0</v>
      </c>
      <c r="J93" s="26">
        <f>H93+I93</f>
        <v>0</v>
      </c>
      <c r="L93" s="26">
        <f>SUM(L92:L92)</f>
        <v>0</v>
      </c>
      <c r="M93" s="26">
        <f>SUM(M92:M92)</f>
        <v>0</v>
      </c>
      <c r="N93" s="26">
        <f>L93+M93</f>
        <v>0</v>
      </c>
      <c r="P93" s="26">
        <f>SUM(P92:P92)</f>
        <v>0</v>
      </c>
      <c r="Q93" s="26">
        <f>SUM(Q92:Q92)</f>
        <v>-29000</v>
      </c>
      <c r="R93" s="26">
        <f>P93+Q93</f>
        <v>-29000</v>
      </c>
      <c r="S93" s="1"/>
      <c r="T93" s="26">
        <f>SUM(T92:T92)</f>
        <v>29000</v>
      </c>
      <c r="U93" s="26">
        <f>SUM(U92:U92)</f>
        <v>0</v>
      </c>
      <c r="V93" s="26">
        <f>T93+U93</f>
        <v>29000</v>
      </c>
      <c r="X93" s="26">
        <f t="shared" si="89"/>
        <v>29000</v>
      </c>
      <c r="Y93" s="26">
        <f t="shared" si="89"/>
        <v>-29000</v>
      </c>
      <c r="Z93" s="26">
        <f t="shared" si="89"/>
        <v>0</v>
      </c>
    </row>
    <row r="94" spans="1:26" x14ac:dyDescent="0.25">
      <c r="B94" s="2"/>
      <c r="C94" s="2"/>
    </row>
    <row r="95" spans="1:26" x14ac:dyDescent="0.25">
      <c r="B95" s="2" t="s">
        <v>787</v>
      </c>
      <c r="C95" s="2"/>
      <c r="D95" s="8">
        <f>D89+D93</f>
        <v>0</v>
      </c>
      <c r="E95" s="8">
        <f>E89+E93</f>
        <v>106991</v>
      </c>
      <c r="F95" s="8">
        <f>D95+E95</f>
        <v>106991</v>
      </c>
      <c r="H95" s="8">
        <f>H89+H93</f>
        <v>0</v>
      </c>
      <c r="I95" s="8">
        <f>I89+I93</f>
        <v>106991</v>
      </c>
      <c r="J95" s="8">
        <f>H95+I95</f>
        <v>106991</v>
      </c>
      <c r="L95" s="8">
        <f>L89+L93</f>
        <v>0</v>
      </c>
      <c r="M95" s="8">
        <f>M89+M93</f>
        <v>106991</v>
      </c>
      <c r="N95" s="8">
        <f>L95+M95</f>
        <v>106991</v>
      </c>
      <c r="P95" s="8">
        <f>P89+P93</f>
        <v>0</v>
      </c>
      <c r="Q95" s="8">
        <f>Q89+Q93</f>
        <v>719937</v>
      </c>
      <c r="R95" s="8">
        <f>P95+Q95</f>
        <v>719937</v>
      </c>
      <c r="T95" s="8">
        <f>T89+T93</f>
        <v>29000</v>
      </c>
      <c r="U95" s="8">
        <f>U89+U93</f>
        <v>0</v>
      </c>
      <c r="V95" s="8">
        <f>T95+U95</f>
        <v>29000</v>
      </c>
      <c r="X95" s="8">
        <f>D95+H95+L95+P95+T95</f>
        <v>29000</v>
      </c>
      <c r="Y95" s="8">
        <f>E95+I95+M95+Q95+U95</f>
        <v>1040910</v>
      </c>
      <c r="Z95" s="8">
        <f>F95+J95+N95+R95+V95</f>
        <v>1069910</v>
      </c>
    </row>
    <row r="96" spans="1:26" x14ac:dyDescent="0.25">
      <c r="B96" s="2"/>
      <c r="C96" s="2"/>
    </row>
    <row r="98" spans="4:18" x14ac:dyDescent="0.25">
      <c r="D98" t="s">
        <v>72</v>
      </c>
    </row>
    <row r="99" spans="4:18" x14ac:dyDescent="0.25">
      <c r="D99" s="2"/>
    </row>
    <row r="100" spans="4:18" x14ac:dyDescent="0.25">
      <c r="D100" s="2" t="s">
        <v>58</v>
      </c>
      <c r="E100" t="s">
        <v>836</v>
      </c>
    </row>
    <row r="102" spans="4:18" x14ac:dyDescent="0.25">
      <c r="D102" t="s">
        <v>885</v>
      </c>
    </row>
    <row r="104" spans="4:18" x14ac:dyDescent="0.25">
      <c r="D104" s="36" t="s">
        <v>3</v>
      </c>
      <c r="E104" s="36"/>
      <c r="F104" s="36"/>
      <c r="H104" s="36" t="s">
        <v>4</v>
      </c>
      <c r="I104" s="36"/>
      <c r="J104" s="36"/>
      <c r="L104" s="36" t="s">
        <v>2</v>
      </c>
      <c r="M104" s="36"/>
      <c r="N104" s="36"/>
      <c r="P104" s="36" t="s">
        <v>13</v>
      </c>
      <c r="Q104" s="36"/>
      <c r="R104" s="36"/>
    </row>
    <row r="105" spans="4:18" x14ac:dyDescent="0.25">
      <c r="D105" s="6"/>
      <c r="E105" s="6"/>
      <c r="F105" s="6"/>
      <c r="H105" s="6"/>
      <c r="I105" s="6"/>
      <c r="J105" s="6"/>
    </row>
    <row r="106" spans="4:18" x14ac:dyDescent="0.25">
      <c r="E106" s="6" t="s">
        <v>110</v>
      </c>
      <c r="F106" s="6" t="s">
        <v>111</v>
      </c>
      <c r="I106" s="6" t="s">
        <v>110</v>
      </c>
      <c r="J106" s="6" t="s">
        <v>111</v>
      </c>
      <c r="M106" s="6" t="s">
        <v>110</v>
      </c>
      <c r="N106" s="6" t="s">
        <v>111</v>
      </c>
      <c r="Q106" s="6" t="s">
        <v>110</v>
      </c>
      <c r="R106" s="6" t="s">
        <v>111</v>
      </c>
    </row>
    <row r="107" spans="4:18" x14ac:dyDescent="0.25">
      <c r="E107" s="6"/>
      <c r="F107" s="6"/>
    </row>
    <row r="108" spans="4:18" x14ac:dyDescent="0.25">
      <c r="E108" s="2" t="s">
        <v>635</v>
      </c>
      <c r="F108" s="9">
        <v>35639.729999999996</v>
      </c>
      <c r="I108" s="2" t="s">
        <v>811</v>
      </c>
      <c r="J108" s="9">
        <v>7702.5</v>
      </c>
      <c r="M108" s="2" t="s">
        <v>793</v>
      </c>
      <c r="N108" s="9">
        <v>1342.44</v>
      </c>
      <c r="Q108" s="2" t="s">
        <v>631</v>
      </c>
      <c r="R108" s="9">
        <v>6163.75</v>
      </c>
    </row>
    <row r="109" spans="4:18" x14ac:dyDescent="0.25">
      <c r="E109" s="2" t="s">
        <v>857</v>
      </c>
      <c r="F109" s="9">
        <v>150161</v>
      </c>
      <c r="I109" s="2" t="s">
        <v>800</v>
      </c>
      <c r="J109" s="9">
        <v>62500</v>
      </c>
      <c r="M109" s="2" t="s">
        <v>854</v>
      </c>
      <c r="N109" s="9">
        <v>30759</v>
      </c>
      <c r="Q109" s="2" t="s">
        <v>632</v>
      </c>
      <c r="R109" s="9">
        <v>1968.239999999998</v>
      </c>
    </row>
    <row r="110" spans="4:18" x14ac:dyDescent="0.25">
      <c r="E110" s="2" t="s">
        <v>113</v>
      </c>
      <c r="F110" s="8">
        <f>SUM(F108:F109)</f>
        <v>185800.72999999998</v>
      </c>
      <c r="I110" s="2" t="s">
        <v>803</v>
      </c>
      <c r="J110" s="9">
        <v>8471.74</v>
      </c>
      <c r="M110" s="2" t="s">
        <v>113</v>
      </c>
      <c r="N110" s="13">
        <f>SUM(N108:N109)</f>
        <v>32101.439999999999</v>
      </c>
      <c r="Q110" s="2" t="s">
        <v>637</v>
      </c>
      <c r="R110" s="9">
        <v>1980.37</v>
      </c>
    </row>
    <row r="111" spans="4:18" x14ac:dyDescent="0.25">
      <c r="I111" s="2" t="s">
        <v>806</v>
      </c>
      <c r="J111" s="9">
        <v>59122.62</v>
      </c>
      <c r="Q111" s="2" t="s">
        <v>884</v>
      </c>
      <c r="R111" s="9">
        <v>48279.5</v>
      </c>
    </row>
    <row r="112" spans="4:18" x14ac:dyDescent="0.25">
      <c r="I112" s="2" t="s">
        <v>865</v>
      </c>
      <c r="J112" s="9">
        <v>153000</v>
      </c>
      <c r="Q112" s="2" t="s">
        <v>763</v>
      </c>
      <c r="R112" s="9">
        <v>3000</v>
      </c>
    </row>
    <row r="113" spans="4:18" x14ac:dyDescent="0.25">
      <c r="I113" s="2" t="s">
        <v>864</v>
      </c>
      <c r="J113" s="9">
        <v>70000</v>
      </c>
      <c r="Q113" s="2" t="s">
        <v>802</v>
      </c>
      <c r="R113" s="9">
        <v>30000</v>
      </c>
    </row>
    <row r="114" spans="4:18" x14ac:dyDescent="0.25">
      <c r="I114" s="2" t="s">
        <v>870</v>
      </c>
      <c r="J114" s="9">
        <v>62675</v>
      </c>
      <c r="Q114" s="2" t="s">
        <v>854</v>
      </c>
      <c r="R114" s="9">
        <v>60000</v>
      </c>
    </row>
    <row r="115" spans="4:18" x14ac:dyDescent="0.25">
      <c r="I115" s="2" t="s">
        <v>872</v>
      </c>
      <c r="J115" s="9">
        <f>158972-113241</f>
        <v>45731</v>
      </c>
      <c r="Q115" s="2" t="s">
        <v>858</v>
      </c>
      <c r="R115" s="9">
        <v>42072.94</v>
      </c>
    </row>
    <row r="116" spans="4:18" x14ac:dyDescent="0.25">
      <c r="I116" s="2" t="s">
        <v>113</v>
      </c>
      <c r="J116" s="13">
        <f>SUM(J108:J115)</f>
        <v>469202.86</v>
      </c>
      <c r="Q116" s="2" t="s">
        <v>113</v>
      </c>
      <c r="R116" s="13">
        <f>SUM(R108:R115)</f>
        <v>193464.8</v>
      </c>
    </row>
    <row r="117" spans="4:18" x14ac:dyDescent="0.25">
      <c r="D117" s="6" t="s">
        <v>118</v>
      </c>
      <c r="E117" s="1"/>
    </row>
    <row r="118" spans="4:18" x14ac:dyDescent="0.25">
      <c r="D118" s="29">
        <v>1</v>
      </c>
      <c r="E118" t="str">
        <f>"FY2026 local surtax revenue will be " &amp;  TEXT(Z10,"$#,0.00") &amp; " or " &amp; TEXT('FY25'!Z10+'FY25'!Z11-Z10,"$#,0.00") &amp; " less than in FY2025"</f>
        <v>FY2026 local surtax revenue will be $900,000.00 or $168,987.93 less than in FY2025</v>
      </c>
    </row>
    <row r="119" spans="4:18" x14ac:dyDescent="0.25">
      <c r="D119" s="29">
        <v>2</v>
      </c>
      <c r="E119" t="str">
        <f>"FY2026 interest earned will be " &amp; TEXT(Z14,"$#,0.00") &amp; " or " &amp; TEXT('FY25'!Z14-Z14,"$#,0.00") &amp; " less than in FY2025"</f>
        <v>FY2026 interest earned will be $7,410.00 or $29,434.84 less than in FY2025</v>
      </c>
    </row>
    <row r="120" spans="4:18" x14ac:dyDescent="0.25">
      <c r="D120" s="29">
        <v>3</v>
      </c>
      <c r="E120" t="str">
        <f>"FY2026 state match will be " &amp; TEXT(Z12/Z10,"0.0%") &amp; " of the FY2026 local surtax revenue of " &amp; TEXT(Z10,"$#,0") &amp; " or " &amp; TEXT(Z12,"$#,0")</f>
        <v>FY2026 state match will be 25.0% of the FY2026 local surtax revenue of $900,000 or $225,000</v>
      </c>
    </row>
    <row r="121" spans="4:18" x14ac:dyDescent="0.25">
      <c r="D121" s="29">
        <v>4</v>
      </c>
      <c r="E121" t="str">
        <f>"FY2026 state match will be " &amp; TEXT(Z12,"$#,0") &amp; " or " &amp; TEXT(Z12/('FY25'!Z10+'FY25'!Z11),"0.00%") &amp; " of the FY2025 local surtax revenue"</f>
        <v>FY2026 state match will be $225,000 or 21.05% of the FY2025 local surtax revenue</v>
      </c>
    </row>
    <row r="122" spans="4:18" x14ac:dyDescent="0.25">
      <c r="D122" s="29">
        <v>5</v>
      </c>
      <c r="E122" t="s">
        <v>887</v>
      </c>
    </row>
    <row r="123" spans="4:18" x14ac:dyDescent="0.25">
      <c r="D123" s="29">
        <v>6</v>
      </c>
      <c r="E123" t="s">
        <v>837</v>
      </c>
    </row>
    <row r="124" spans="4:18" x14ac:dyDescent="0.25">
      <c r="D124" s="29">
        <v>7</v>
      </c>
      <c r="E124" t="str">
        <f>"FY2027 local surtax revenue will be " &amp; TEXT(Z86,"$#,0") &amp; " or " &amp; TEXT('FY25'!Z10 +'FY25'!Z11 - Z86, "$#,0.00") &amp; " less than in FY2025"</f>
        <v>FY2027 local surtax revenue will be $850,000 or $218,987.93 less than in FY2025</v>
      </c>
    </row>
    <row r="125" spans="4:18" x14ac:dyDescent="0.25">
      <c r="D125" s="29">
        <v>8</v>
      </c>
      <c r="E125" t="str">
        <f>"FY2027 state match revenue (expected on 15 November 2025) will be " &amp; TEXT(Z87,"$#,0.00") &amp; " or " &amp; TEXT(Z87/Z10,"0.0%") &amp; " of expected FY2026 local surtax revenue"</f>
        <v>FY2027 state match revenue (expected on 15 November 2025) will be $212,500.00 or 23.6% of expected FY2026 local surtax revenue</v>
      </c>
    </row>
    <row r="126" spans="4:18" x14ac:dyDescent="0.25">
      <c r="D126" s="29">
        <v>9</v>
      </c>
      <c r="E126" t="str">
        <f>"FY2027 interest earned will be " &amp; TEXT(Z88,"$#,0.00")</f>
        <v>FY2027 interest earned will be $7,410.00</v>
      </c>
    </row>
    <row r="127" spans="4:18" x14ac:dyDescent="0.25">
      <c r="D127" s="29">
        <v>10</v>
      </c>
      <c r="E127" t="s">
        <v>838</v>
      </c>
    </row>
  </sheetData>
  <mergeCells count="11">
    <mergeCell ref="A83:B83"/>
    <mergeCell ref="D104:F104"/>
    <mergeCell ref="H104:J104"/>
    <mergeCell ref="L104:N104"/>
    <mergeCell ref="P104:R104"/>
    <mergeCell ref="X4:Z4"/>
    <mergeCell ref="D4:F4"/>
    <mergeCell ref="H4:J4"/>
    <mergeCell ref="L4:N4"/>
    <mergeCell ref="P4:R4"/>
    <mergeCell ref="T4:V4"/>
  </mergeCells>
  <printOptions horizontalCentered="1"/>
  <pageMargins left="0.25" right="0.25" top="0.5" bottom="0.5" header="0.3" footer="0.3"/>
  <pageSetup paperSize="5" scale="52" fitToHeight="0" orientation="landscape" r:id="rId1"/>
  <headerFooter>
    <oddFooter>&amp;L&amp;F&amp;CPage &amp;P of &amp;N&amp;R29 April 2025</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2:Z115"/>
  <sheetViews>
    <sheetView workbookViewId="0">
      <pane xSplit="3" ySplit="6" topLeftCell="D60" activePane="bottomRight" state="frozen"/>
      <selection activeCell="C9" sqref="C9"/>
      <selection pane="topRight" activeCell="C9" sqref="C9"/>
      <selection pane="bottomLeft" activeCell="C9" sqref="C9"/>
      <selection pane="bottomRight" activeCell="A79" sqref="A79"/>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2.7109375" customWidth="1"/>
    <col min="18" max="18" width="14.7109375" customWidth="1"/>
    <col min="19" max="19" width="2.7109375" customWidth="1"/>
    <col min="20" max="22" width="12.7109375" customWidth="1"/>
    <col min="23" max="23" width="2.7109375" customWidth="1"/>
    <col min="24" max="26" width="14.7109375" customWidth="1"/>
    <col min="27" max="27" width="12.7109375" customWidth="1"/>
    <col min="28" max="28" width="14.7109375" customWidth="1"/>
    <col min="29" max="54" width="12.7109375" customWidth="1"/>
  </cols>
  <sheetData>
    <row r="2" spans="2:26" x14ac:dyDescent="0.25">
      <c r="D2" t="s">
        <v>501</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614</v>
      </c>
      <c r="D7" s="9">
        <f>'FY07'!D58</f>
        <v>0</v>
      </c>
      <c r="E7" s="9">
        <f>'FY07'!E58</f>
        <v>145773.69</v>
      </c>
      <c r="F7" s="8">
        <f>D7+E7</f>
        <v>145773.69</v>
      </c>
      <c r="H7" s="9">
        <f>'FY07'!H58</f>
        <v>33000</v>
      </c>
      <c r="I7" s="9">
        <f>'FY07'!I58</f>
        <v>57373.69</v>
      </c>
      <c r="J7" s="8">
        <f>H7+I7</f>
        <v>90373.69</v>
      </c>
      <c r="L7" s="9">
        <f>'FY07'!L58</f>
        <v>99500</v>
      </c>
      <c r="M7" s="9">
        <f>'FY07'!M58</f>
        <v>6273.69</v>
      </c>
      <c r="N7" s="8">
        <f>L7+M7</f>
        <v>105773.69</v>
      </c>
      <c r="P7" s="9">
        <f>'FY07'!P58</f>
        <v>309545.34000000003</v>
      </c>
      <c r="Q7" s="9">
        <f>'FY07'!Q58</f>
        <v>497555.09</v>
      </c>
      <c r="R7" s="8">
        <f>P7+Q7</f>
        <v>807100.43</v>
      </c>
      <c r="S7" s="1"/>
      <c r="T7" s="9">
        <v>0</v>
      </c>
      <c r="U7" s="9">
        <v>0</v>
      </c>
      <c r="V7" s="8">
        <f>T7+U7</f>
        <v>0</v>
      </c>
      <c r="X7" s="8">
        <f>D7+H7+L7+P7+T7</f>
        <v>442045.34</v>
      </c>
      <c r="Y7" s="8">
        <f>E7+I7+M7+Q7+U7</f>
        <v>706976.16</v>
      </c>
      <c r="Z7" s="8">
        <f>F7+J7+N7+R7+V7</f>
        <v>1149021.5</v>
      </c>
    </row>
    <row r="9" spans="2:26" x14ac:dyDescent="0.25">
      <c r="B9" s="5" t="s">
        <v>11</v>
      </c>
      <c r="Y9" s="1"/>
      <c r="Z9" s="1"/>
    </row>
    <row r="10" spans="2:26" x14ac:dyDescent="0.25">
      <c r="B10" s="2" t="s">
        <v>746</v>
      </c>
      <c r="D10" s="9">
        <v>0</v>
      </c>
      <c r="E10" s="9">
        <f>ROUND(510945.49/10,2)</f>
        <v>51094.55</v>
      </c>
      <c r="F10" s="8">
        <f>D10+E10</f>
        <v>51094.55</v>
      </c>
      <c r="H10" s="9">
        <v>0</v>
      </c>
      <c r="I10" s="9">
        <f>ROUND(510945.49/10,2)</f>
        <v>51094.55</v>
      </c>
      <c r="J10" s="8">
        <f>H10+I10</f>
        <v>51094.55</v>
      </c>
      <c r="L10" s="9">
        <v>0</v>
      </c>
      <c r="M10" s="9">
        <f>ROUND(510945.49/10,2)</f>
        <v>51094.55</v>
      </c>
      <c r="N10" s="8">
        <f>L10+M10</f>
        <v>51094.55</v>
      </c>
      <c r="P10" s="9">
        <v>0</v>
      </c>
      <c r="Q10" s="9">
        <f>510945.49-E10-I10-M10</f>
        <v>357661.84</v>
      </c>
      <c r="R10" s="8">
        <f>P10+Q10</f>
        <v>357661.84</v>
      </c>
      <c r="S10" s="1"/>
      <c r="T10" s="1"/>
      <c r="U10" s="1"/>
      <c r="V10" s="1"/>
      <c r="X10" s="8">
        <f t="shared" ref="X10:Z15" si="0">D10+H10+L10+P10+T10</f>
        <v>0</v>
      </c>
      <c r="Y10" s="8">
        <f t="shared" si="0"/>
        <v>510945.49000000005</v>
      </c>
      <c r="Z10" s="8">
        <f t="shared" si="0"/>
        <v>510945.49000000005</v>
      </c>
    </row>
    <row r="11" spans="2:26" x14ac:dyDescent="0.25">
      <c r="B11" s="2" t="s">
        <v>5</v>
      </c>
      <c r="D11" s="9">
        <v>0</v>
      </c>
      <c r="E11" s="9">
        <f>ROUND(617.11/10,2)</f>
        <v>61.71</v>
      </c>
      <c r="F11" s="8">
        <f>D11+E11</f>
        <v>61.71</v>
      </c>
      <c r="H11" s="9">
        <v>0</v>
      </c>
      <c r="I11" s="9">
        <f>ROUND(617.11/10,2)</f>
        <v>61.71</v>
      </c>
      <c r="J11" s="8">
        <f>H11+I11</f>
        <v>61.71</v>
      </c>
      <c r="L11" s="9">
        <v>0</v>
      </c>
      <c r="M11" s="9">
        <f>ROUND(617.11/10,2)</f>
        <v>61.71</v>
      </c>
      <c r="N11" s="8">
        <f>L11+M11</f>
        <v>61.71</v>
      </c>
      <c r="P11" s="9">
        <v>0</v>
      </c>
      <c r="Q11" s="9">
        <f>617.11-E11-I11-M11</f>
        <v>431.98</v>
      </c>
      <c r="R11" s="8">
        <f>P11+Q11</f>
        <v>431.98</v>
      </c>
      <c r="S11" s="1"/>
      <c r="T11" s="1"/>
      <c r="U11" s="1"/>
      <c r="V11" s="1"/>
      <c r="X11" s="8">
        <f t="shared" si="0"/>
        <v>0</v>
      </c>
      <c r="Y11" s="8">
        <f t="shared" si="0"/>
        <v>617.11</v>
      </c>
      <c r="Z11" s="8">
        <f t="shared" si="0"/>
        <v>617.11</v>
      </c>
    </row>
    <row r="12" spans="2:26" x14ac:dyDescent="0.25">
      <c r="B12" s="2" t="s">
        <v>615</v>
      </c>
      <c r="D12" s="9">
        <v>0</v>
      </c>
      <c r="E12" s="9">
        <f>495171/10</f>
        <v>49517.1</v>
      </c>
      <c r="F12" s="8">
        <f>D12+E12</f>
        <v>49517.1</v>
      </c>
      <c r="H12" s="9">
        <v>0</v>
      </c>
      <c r="I12" s="9">
        <f>495171/10</f>
        <v>49517.1</v>
      </c>
      <c r="J12" s="8">
        <f>H12+I12</f>
        <v>49517.1</v>
      </c>
      <c r="L12" s="9">
        <v>0</v>
      </c>
      <c r="M12" s="9">
        <f>495171/10</f>
        <v>49517.1</v>
      </c>
      <c r="N12" s="8">
        <f>L12+M12</f>
        <v>49517.1</v>
      </c>
      <c r="P12" s="9">
        <v>0</v>
      </c>
      <c r="Q12" s="9">
        <f>495171-E12-I12-M12</f>
        <v>346619.70000000007</v>
      </c>
      <c r="R12" s="8">
        <f>P12+Q12</f>
        <v>346619.70000000007</v>
      </c>
      <c r="S12" s="1"/>
      <c r="T12" s="1"/>
      <c r="U12" s="1"/>
      <c r="V12" s="1"/>
      <c r="X12" s="8">
        <f t="shared" si="0"/>
        <v>0</v>
      </c>
      <c r="Y12" s="8">
        <f t="shared" si="0"/>
        <v>495171.00000000006</v>
      </c>
      <c r="Z12" s="8">
        <f t="shared" si="0"/>
        <v>495171.00000000006</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502</v>
      </c>
      <c r="D14" s="14">
        <v>0</v>
      </c>
      <c r="E14" s="14">
        <f>ROUND(29975.34/10,2)</f>
        <v>2997.53</v>
      </c>
      <c r="F14" s="15">
        <f>D14+E14</f>
        <v>2997.53</v>
      </c>
      <c r="H14" s="14">
        <v>0</v>
      </c>
      <c r="I14" s="14">
        <f>ROUND(29975.34/10,2)</f>
        <v>2997.53</v>
      </c>
      <c r="J14" s="15">
        <f>H14+I14</f>
        <v>2997.53</v>
      </c>
      <c r="L14" s="14">
        <v>0</v>
      </c>
      <c r="M14" s="14">
        <f>ROUND(29975.34/10,2)</f>
        <v>2997.53</v>
      </c>
      <c r="N14" s="15">
        <f>L14+M14</f>
        <v>2997.53</v>
      </c>
      <c r="P14" s="14">
        <v>0</v>
      </c>
      <c r="Q14" s="14">
        <f>29975.34-E14-I14-M14</f>
        <v>20982.750000000004</v>
      </c>
      <c r="R14" s="15">
        <f>P14+Q14</f>
        <v>20982.750000000004</v>
      </c>
      <c r="S14" s="1"/>
      <c r="T14" s="3"/>
      <c r="U14" s="3"/>
      <c r="V14" s="3"/>
      <c r="X14" s="15">
        <f t="shared" si="0"/>
        <v>0</v>
      </c>
      <c r="Y14" s="15">
        <f t="shared" si="0"/>
        <v>29975.340000000004</v>
      </c>
      <c r="Z14" s="15">
        <f t="shared" si="0"/>
        <v>29975.340000000004</v>
      </c>
    </row>
    <row r="15" spans="2:26" x14ac:dyDescent="0.25">
      <c r="B15" s="2" t="s">
        <v>28</v>
      </c>
      <c r="D15" s="26">
        <f>SUM(D10:D14)</f>
        <v>0</v>
      </c>
      <c r="E15" s="26">
        <f>SUM(E10:E14)</f>
        <v>103670.89</v>
      </c>
      <c r="F15" s="26">
        <f>D15+E15</f>
        <v>103670.89</v>
      </c>
      <c r="H15" s="26">
        <f>SUM(H10:H14)</f>
        <v>0</v>
      </c>
      <c r="I15" s="26">
        <f>SUM(I10:I14)</f>
        <v>103670.89</v>
      </c>
      <c r="J15" s="26">
        <f>H15+I15</f>
        <v>103670.89</v>
      </c>
      <c r="L15" s="26">
        <f>SUM(L10:L14)</f>
        <v>0</v>
      </c>
      <c r="M15" s="26">
        <f>SUM(M10:M14)</f>
        <v>103670.89</v>
      </c>
      <c r="N15" s="26">
        <f>L15+M15</f>
        <v>103670.89</v>
      </c>
      <c r="P15" s="26">
        <f>SUM(P10:P14)</f>
        <v>0</v>
      </c>
      <c r="Q15" s="26">
        <f>SUM(Q10:Q14)</f>
        <v>725696.27</v>
      </c>
      <c r="R15" s="26">
        <f>P15+Q15</f>
        <v>725696.27</v>
      </c>
      <c r="S15" s="1"/>
      <c r="T15" s="26">
        <f>SUM(T10:T14)</f>
        <v>0</v>
      </c>
      <c r="U15" s="26">
        <f>SUM(U10:U14)</f>
        <v>0</v>
      </c>
      <c r="V15" s="26">
        <f>T15+U15</f>
        <v>0</v>
      </c>
      <c r="X15" s="26">
        <f t="shared" si="0"/>
        <v>0</v>
      </c>
      <c r="Y15" s="26">
        <f t="shared" si="0"/>
        <v>1036708.94</v>
      </c>
      <c r="Z15" s="26">
        <f t="shared" si="0"/>
        <v>1036708.94</v>
      </c>
    </row>
    <row r="16" spans="2:26" x14ac:dyDescent="0.25">
      <c r="D16" s="1"/>
      <c r="E16" s="1"/>
      <c r="F16" s="1"/>
      <c r="H16" s="1"/>
      <c r="I16" s="1"/>
      <c r="J16" s="1"/>
      <c r="L16" s="1"/>
      <c r="M16" s="1"/>
      <c r="N16" s="1"/>
      <c r="P16" s="1"/>
      <c r="Q16" s="1"/>
      <c r="R16" s="1"/>
      <c r="S16" s="1"/>
      <c r="T16" s="1"/>
      <c r="U16" s="1"/>
      <c r="V16" s="1"/>
    </row>
    <row r="17" spans="2:26" x14ac:dyDescent="0.25">
      <c r="B17" s="5" t="s">
        <v>503</v>
      </c>
      <c r="D17" s="1"/>
      <c r="E17" s="1"/>
      <c r="F17" s="1"/>
      <c r="H17" s="1"/>
      <c r="I17" s="1"/>
      <c r="J17" s="1"/>
      <c r="L17" s="1"/>
      <c r="M17" s="1"/>
      <c r="N17" s="1"/>
      <c r="P17" s="1"/>
      <c r="Q17" s="1"/>
      <c r="R17" s="1"/>
      <c r="S17" s="1"/>
      <c r="T17" s="1"/>
      <c r="U17" s="1"/>
      <c r="V17" s="1"/>
    </row>
    <row r="18" spans="2:26" x14ac:dyDescent="0.25">
      <c r="B18" s="2" t="s">
        <v>88</v>
      </c>
      <c r="D18" s="1"/>
      <c r="E18" s="1"/>
      <c r="F18" s="1"/>
      <c r="H18" s="1"/>
      <c r="I18" s="1"/>
      <c r="J18" s="1"/>
      <c r="M18" s="1"/>
      <c r="N18" s="1"/>
      <c r="P18" s="9">
        <v>0</v>
      </c>
      <c r="Q18" s="8">
        <f>-T18</f>
        <v>-46000</v>
      </c>
      <c r="R18" s="8">
        <f>P18+Q18</f>
        <v>-46000</v>
      </c>
      <c r="S18" s="1"/>
      <c r="T18" s="9">
        <v>46000</v>
      </c>
      <c r="U18" s="9">
        <v>0</v>
      </c>
      <c r="V18" s="8">
        <f>T18+U18</f>
        <v>46000</v>
      </c>
      <c r="X18" s="8">
        <f t="shared" ref="X18:Z20" si="8">D18+H18+L18+P18+T18</f>
        <v>46000</v>
      </c>
      <c r="Y18" s="8">
        <f t="shared" si="8"/>
        <v>-46000</v>
      </c>
      <c r="Z18" s="8">
        <f t="shared" si="8"/>
        <v>0</v>
      </c>
    </row>
    <row r="19" spans="2:26" ht="15.75" thickBot="1" x14ac:dyDescent="0.3">
      <c r="B19" s="2" t="s">
        <v>504</v>
      </c>
      <c r="C19" s="6" t="s">
        <v>17</v>
      </c>
      <c r="D19" s="1"/>
      <c r="E19" s="1"/>
      <c r="J19" s="1"/>
      <c r="L19" s="14">
        <f>165000-73000</f>
        <v>92000</v>
      </c>
      <c r="M19" s="15">
        <f>-L19</f>
        <v>-92000</v>
      </c>
      <c r="N19" s="15">
        <f>L19+M19</f>
        <v>0</v>
      </c>
      <c r="P19" s="14">
        <f>838297 - 240297</f>
        <v>598000</v>
      </c>
      <c r="Q19" s="15">
        <f>-P19</f>
        <v>-598000</v>
      </c>
      <c r="R19" s="15">
        <f>P19+Q19</f>
        <v>0</v>
      </c>
      <c r="S19" s="1"/>
      <c r="X19" s="8">
        <f t="shared" ref="X19" si="9">D19+H19+L19+P19+T19</f>
        <v>690000</v>
      </c>
      <c r="Y19" s="8">
        <f t="shared" ref="Y19" si="10">E19+I19+M19+Q19+U19</f>
        <v>-690000</v>
      </c>
      <c r="Z19" s="8">
        <f t="shared" ref="Z19" si="11">F19+J19+N19+R19+V19</f>
        <v>0</v>
      </c>
    </row>
    <row r="20" spans="2:26" x14ac:dyDescent="0.25">
      <c r="B20" s="2" t="s">
        <v>616</v>
      </c>
      <c r="D20" s="26">
        <f>SUM(D18:D19)</f>
        <v>0</v>
      </c>
      <c r="E20" s="26">
        <f>SUM(E18:E19)</f>
        <v>0</v>
      </c>
      <c r="F20" s="26">
        <f>D20+E20</f>
        <v>0</v>
      </c>
      <c r="H20" s="26">
        <f>SUM(H18:H19)</f>
        <v>0</v>
      </c>
      <c r="I20" s="26">
        <f>SUM(I18:I19)</f>
        <v>0</v>
      </c>
      <c r="J20" s="26">
        <f>H20+I20</f>
        <v>0</v>
      </c>
      <c r="L20" s="26">
        <f>SUM(L18:L19)</f>
        <v>92000</v>
      </c>
      <c r="M20" s="26">
        <f>SUM(M18:M19)</f>
        <v>-92000</v>
      </c>
      <c r="N20" s="26">
        <f>L20+M20</f>
        <v>0</v>
      </c>
      <c r="P20" s="26">
        <f>SUM(P18:P19)</f>
        <v>598000</v>
      </c>
      <c r="Q20" s="26">
        <f>SUM(Q18:Q19)</f>
        <v>-644000</v>
      </c>
      <c r="R20" s="26">
        <f>P20+Q20</f>
        <v>-46000</v>
      </c>
      <c r="S20" s="1"/>
      <c r="T20" s="26">
        <f>SUM(T18:T19)</f>
        <v>46000</v>
      </c>
      <c r="U20" s="26">
        <f>SUM(U18:U19)</f>
        <v>0</v>
      </c>
      <c r="V20" s="26">
        <f>T20+U20</f>
        <v>46000</v>
      </c>
      <c r="X20" s="26">
        <f t="shared" si="8"/>
        <v>736000</v>
      </c>
      <c r="Y20" s="26">
        <f t="shared" si="8"/>
        <v>-736000</v>
      </c>
      <c r="Z20" s="26">
        <f t="shared" si="8"/>
        <v>0</v>
      </c>
    </row>
    <row r="21" spans="2:26" x14ac:dyDescent="0.25">
      <c r="D21" s="1"/>
      <c r="E21" s="1"/>
      <c r="F21" s="1"/>
      <c r="H21" s="1"/>
      <c r="I21" s="1"/>
      <c r="J21" s="1"/>
      <c r="L21" s="1"/>
      <c r="M21" s="1"/>
      <c r="N21" s="1"/>
      <c r="P21" s="1"/>
      <c r="Q21" s="1"/>
      <c r="R21" s="1"/>
      <c r="S21" s="1"/>
      <c r="T21" s="1"/>
      <c r="U21" s="1"/>
      <c r="V21" s="1"/>
    </row>
    <row r="22" spans="2:26" x14ac:dyDescent="0.25">
      <c r="B22" s="5" t="s">
        <v>505</v>
      </c>
      <c r="D22" s="1"/>
      <c r="E22" s="1"/>
      <c r="F22" s="1"/>
      <c r="H22" s="1"/>
      <c r="I22" s="1"/>
      <c r="J22" s="1"/>
      <c r="L22" s="1"/>
      <c r="M22" s="1"/>
      <c r="N22" s="1"/>
      <c r="Q22" s="1"/>
      <c r="S22" s="1"/>
      <c r="T22" s="1"/>
      <c r="U22" s="1"/>
      <c r="V22" s="1"/>
    </row>
    <row r="23" spans="2:26" x14ac:dyDescent="0.25">
      <c r="B23" s="24" t="s">
        <v>602</v>
      </c>
      <c r="C23" s="6" t="s">
        <v>506</v>
      </c>
      <c r="D23" s="1"/>
      <c r="E23" s="1"/>
      <c r="F23" s="1"/>
      <c r="H23" s="9">
        <v>34000</v>
      </c>
      <c r="I23" s="8">
        <f>-H23</f>
        <v>-34000</v>
      </c>
      <c r="J23" s="8">
        <f>H23+I23</f>
        <v>0</v>
      </c>
      <c r="L23" s="1"/>
      <c r="M23" s="1"/>
      <c r="N23" s="1"/>
      <c r="P23" s="1"/>
      <c r="Q23" s="1"/>
      <c r="R23" s="1"/>
      <c r="S23" s="1"/>
      <c r="T23" s="1"/>
      <c r="U23" s="1"/>
      <c r="V23" s="1"/>
      <c r="X23" s="8">
        <f t="shared" ref="X23:Z31" si="12">D23+H23+L23+P23+T23</f>
        <v>34000</v>
      </c>
      <c r="Y23" s="8">
        <f t="shared" si="12"/>
        <v>-34000</v>
      </c>
      <c r="Z23" s="8">
        <f t="shared" si="12"/>
        <v>0</v>
      </c>
    </row>
    <row r="24" spans="2:26" x14ac:dyDescent="0.25">
      <c r="B24" s="24" t="s">
        <v>507</v>
      </c>
      <c r="C24" s="6" t="s">
        <v>508</v>
      </c>
      <c r="D24" s="1"/>
      <c r="E24" s="1"/>
      <c r="F24" s="1"/>
      <c r="H24" s="9">
        <v>20000</v>
      </c>
      <c r="I24" s="8">
        <f>-H24</f>
        <v>-20000</v>
      </c>
      <c r="J24" s="8">
        <f>H24+I24</f>
        <v>0</v>
      </c>
      <c r="L24" s="1"/>
      <c r="M24" s="1"/>
      <c r="N24" s="1"/>
      <c r="P24" s="1"/>
      <c r="Q24" s="1"/>
      <c r="R24" s="1"/>
      <c r="S24" s="1"/>
      <c r="T24" s="1"/>
      <c r="U24" s="1"/>
      <c r="V24" s="1"/>
      <c r="X24" s="8">
        <f t="shared" si="12"/>
        <v>20000</v>
      </c>
      <c r="Y24" s="8">
        <f t="shared" si="12"/>
        <v>-20000</v>
      </c>
      <c r="Z24" s="8">
        <f t="shared" si="12"/>
        <v>0</v>
      </c>
    </row>
    <row r="25" spans="2:26" x14ac:dyDescent="0.25">
      <c r="B25" s="24" t="s">
        <v>509</v>
      </c>
      <c r="C25" s="6" t="s">
        <v>510</v>
      </c>
      <c r="E25" s="1"/>
      <c r="F25" s="1"/>
      <c r="L25" s="9">
        <v>1900</v>
      </c>
      <c r="M25" s="8">
        <f>-L25</f>
        <v>-1900</v>
      </c>
      <c r="N25" s="8">
        <f>L25+M25</f>
        <v>0</v>
      </c>
      <c r="P25" s="1"/>
      <c r="Q25" s="1"/>
      <c r="R25" s="1"/>
      <c r="S25" s="1"/>
      <c r="T25" s="1"/>
      <c r="U25" s="1"/>
      <c r="V25" s="1"/>
      <c r="X25" s="8">
        <f t="shared" si="12"/>
        <v>1900</v>
      </c>
      <c r="Y25" s="8">
        <f t="shared" si="12"/>
        <v>-1900</v>
      </c>
      <c r="Z25" s="8">
        <f t="shared" si="12"/>
        <v>0</v>
      </c>
    </row>
    <row r="26" spans="2:26" x14ac:dyDescent="0.25">
      <c r="B26" s="2" t="s">
        <v>600</v>
      </c>
      <c r="C26" s="6" t="s">
        <v>511</v>
      </c>
      <c r="E26" s="1"/>
      <c r="F26" s="1"/>
      <c r="P26" s="9">
        <v>200000</v>
      </c>
      <c r="Q26" s="8">
        <f>-P26</f>
        <v>-200000</v>
      </c>
      <c r="R26" s="8">
        <f>P26+Q26</f>
        <v>0</v>
      </c>
      <c r="S26" s="1"/>
      <c r="T26" s="1"/>
      <c r="U26" s="1"/>
      <c r="V26" s="1"/>
      <c r="X26" s="8">
        <f t="shared" si="12"/>
        <v>200000</v>
      </c>
      <c r="Y26" s="8">
        <f t="shared" si="12"/>
        <v>-200000</v>
      </c>
      <c r="Z26" s="8">
        <f t="shared" si="12"/>
        <v>0</v>
      </c>
    </row>
    <row r="27" spans="2:26" x14ac:dyDescent="0.25">
      <c r="B27" s="2" t="s">
        <v>603</v>
      </c>
      <c r="C27" s="6" t="s">
        <v>93</v>
      </c>
      <c r="E27" s="1"/>
      <c r="F27" s="1"/>
      <c r="H27" s="9">
        <v>18000</v>
      </c>
      <c r="I27" s="8">
        <f>-H27</f>
        <v>-18000</v>
      </c>
      <c r="J27" s="8">
        <f>H27+I27</f>
        <v>0</v>
      </c>
      <c r="P27" s="1"/>
      <c r="Q27" s="1"/>
      <c r="R27" s="1"/>
      <c r="S27" s="1"/>
      <c r="T27" s="1"/>
      <c r="U27" s="1"/>
      <c r="V27" s="1"/>
      <c r="X27" s="8">
        <f t="shared" si="12"/>
        <v>18000</v>
      </c>
      <c r="Y27" s="8">
        <f t="shared" si="12"/>
        <v>-18000</v>
      </c>
      <c r="Z27" s="8">
        <f t="shared" si="12"/>
        <v>0</v>
      </c>
    </row>
    <row r="28" spans="2:26" x14ac:dyDescent="0.25">
      <c r="B28" s="2" t="s">
        <v>512</v>
      </c>
      <c r="C28" s="6" t="s">
        <v>513</v>
      </c>
      <c r="P28" s="9">
        <v>10000</v>
      </c>
      <c r="Q28" s="8">
        <f>-P28</f>
        <v>-10000</v>
      </c>
      <c r="R28" s="8">
        <f>P28+Q28</f>
        <v>0</v>
      </c>
      <c r="S28" s="1"/>
      <c r="T28" s="1"/>
      <c r="U28" s="1"/>
      <c r="V28" s="1"/>
      <c r="X28" s="8">
        <f t="shared" si="12"/>
        <v>10000</v>
      </c>
      <c r="Y28" s="8">
        <f t="shared" si="12"/>
        <v>-10000</v>
      </c>
      <c r="Z28" s="8">
        <f t="shared" si="12"/>
        <v>0</v>
      </c>
    </row>
    <row r="29" spans="2:26" x14ac:dyDescent="0.25">
      <c r="B29" s="2" t="s">
        <v>514</v>
      </c>
      <c r="C29" s="6" t="s">
        <v>40</v>
      </c>
      <c r="D29" s="9">
        <v>25000</v>
      </c>
      <c r="E29" s="8">
        <f>-D29</f>
        <v>-25000</v>
      </c>
      <c r="F29" s="8">
        <f>D29+E29</f>
        <v>0</v>
      </c>
      <c r="P29" s="1"/>
      <c r="Q29" s="1"/>
      <c r="R29" s="1"/>
      <c r="S29" s="1"/>
      <c r="T29" s="1"/>
      <c r="U29" s="1"/>
      <c r="V29" s="1"/>
      <c r="X29" s="8">
        <f t="shared" si="12"/>
        <v>25000</v>
      </c>
      <c r="Y29" s="8">
        <f t="shared" si="12"/>
        <v>-25000</v>
      </c>
      <c r="Z29" s="8">
        <f t="shared" si="12"/>
        <v>0</v>
      </c>
    </row>
    <row r="30" spans="2:26" ht="15.75" thickBot="1" x14ac:dyDescent="0.3">
      <c r="B30" s="2" t="s">
        <v>480</v>
      </c>
      <c r="C30" s="6" t="s">
        <v>19</v>
      </c>
      <c r="D30" s="9">
        <v>25000</v>
      </c>
      <c r="E30" s="8">
        <f>-D30</f>
        <v>-25000</v>
      </c>
      <c r="F30" s="8">
        <f>D30+E30</f>
        <v>0</v>
      </c>
      <c r="H30" s="1"/>
      <c r="I30" s="1"/>
      <c r="J30" s="1"/>
      <c r="L30" s="1"/>
      <c r="M30" s="1"/>
      <c r="N30" s="1"/>
      <c r="P30" s="1"/>
      <c r="Q30" s="1"/>
      <c r="R30" s="1"/>
      <c r="S30" s="1"/>
      <c r="T30" s="1"/>
      <c r="U30" s="1"/>
      <c r="V30" s="1"/>
      <c r="X30" s="15">
        <f t="shared" si="12"/>
        <v>25000</v>
      </c>
      <c r="Y30" s="15">
        <f t="shared" si="12"/>
        <v>-25000</v>
      </c>
      <c r="Z30" s="15">
        <f t="shared" si="12"/>
        <v>0</v>
      </c>
    </row>
    <row r="31" spans="2:26" x14ac:dyDescent="0.25">
      <c r="B31" s="2" t="s">
        <v>515</v>
      </c>
      <c r="D31" s="26">
        <f>SUM(D23:D30)</f>
        <v>50000</v>
      </c>
      <c r="E31" s="26">
        <f>SUM(E23:E30)</f>
        <v>-50000</v>
      </c>
      <c r="F31" s="26">
        <f>D31+E31</f>
        <v>0</v>
      </c>
      <c r="H31" s="26">
        <f>SUM(H23:H30)</f>
        <v>72000</v>
      </c>
      <c r="I31" s="26">
        <f>SUM(I23:I30)</f>
        <v>-72000</v>
      </c>
      <c r="J31" s="26">
        <f>H31+I31</f>
        <v>0</v>
      </c>
      <c r="L31" s="26">
        <f>SUM(L23:L30)</f>
        <v>1900</v>
      </c>
      <c r="M31" s="26">
        <f>SUM(M23:M30)</f>
        <v>-1900</v>
      </c>
      <c r="N31" s="26">
        <f>L31+M31</f>
        <v>0</v>
      </c>
      <c r="P31" s="26">
        <f>SUM(P23:P30)</f>
        <v>210000</v>
      </c>
      <c r="Q31" s="26">
        <f>SUM(Q23:Q30)</f>
        <v>-210000</v>
      </c>
      <c r="R31" s="26">
        <f>P31+Q31</f>
        <v>0</v>
      </c>
      <c r="S31" s="1"/>
      <c r="T31" s="26">
        <f>SUM(T23:T30)</f>
        <v>0</v>
      </c>
      <c r="U31" s="26">
        <f>SUM(U23:U30)</f>
        <v>0</v>
      </c>
      <c r="V31" s="26">
        <f>T31+U31</f>
        <v>0</v>
      </c>
      <c r="X31" s="26">
        <f t="shared" si="12"/>
        <v>333900</v>
      </c>
      <c r="Y31" s="26">
        <f t="shared" si="12"/>
        <v>-333900</v>
      </c>
      <c r="Z31" s="26">
        <f t="shared" si="12"/>
        <v>0</v>
      </c>
    </row>
    <row r="32" spans="2:26" x14ac:dyDescent="0.25">
      <c r="D32" s="1"/>
      <c r="E32" s="1"/>
      <c r="F32" s="1"/>
      <c r="H32" s="1"/>
      <c r="I32" s="1"/>
      <c r="J32" s="1"/>
      <c r="L32" s="1"/>
      <c r="M32" s="1"/>
      <c r="N32" s="1"/>
      <c r="P32" s="1"/>
      <c r="Q32" s="1"/>
      <c r="R32" s="1"/>
      <c r="S32" s="1"/>
      <c r="T32" s="1"/>
      <c r="U32" s="1"/>
      <c r="V32" s="1"/>
    </row>
    <row r="33" spans="2:26" x14ac:dyDescent="0.25">
      <c r="B33" s="5" t="s">
        <v>8</v>
      </c>
      <c r="H33" s="1"/>
      <c r="I33" s="1"/>
      <c r="J33" s="1"/>
      <c r="L33" s="1"/>
      <c r="M33" s="1"/>
      <c r="N33" s="1"/>
      <c r="P33" s="1"/>
      <c r="Q33" s="1"/>
      <c r="R33" s="1"/>
      <c r="S33" s="1"/>
      <c r="T33" s="1"/>
      <c r="U33" s="1"/>
      <c r="V33" s="1"/>
    </row>
    <row r="34" spans="2:26" x14ac:dyDescent="0.25">
      <c r="B34" s="2" t="s">
        <v>7</v>
      </c>
      <c r="D34" s="1"/>
      <c r="E34" s="1"/>
      <c r="F34" s="1"/>
      <c r="H34" s="1"/>
      <c r="I34" s="1"/>
      <c r="J34" s="1"/>
      <c r="L34" s="1"/>
      <c r="M34" s="1"/>
      <c r="N34" s="1"/>
      <c r="P34" s="1"/>
      <c r="Q34" s="1"/>
      <c r="R34" s="1"/>
      <c r="S34" s="1"/>
      <c r="T34" s="9">
        <v>-3450.87</v>
      </c>
      <c r="U34" s="9">
        <v>0</v>
      </c>
      <c r="V34" s="8">
        <f>T34+U34</f>
        <v>-3450.87</v>
      </c>
      <c r="X34" s="8">
        <f t="shared" ref="X34:Z52" si="13">D34+H34+L34+P34+T34</f>
        <v>-3450.87</v>
      </c>
      <c r="Y34" s="8">
        <f t="shared" si="13"/>
        <v>0</v>
      </c>
      <c r="Z34" s="8">
        <f t="shared" si="13"/>
        <v>-3450.87</v>
      </c>
    </row>
    <row r="35" spans="2:26" x14ac:dyDescent="0.25">
      <c r="B35" s="2" t="s">
        <v>77</v>
      </c>
      <c r="H35" s="1"/>
      <c r="I35" s="1"/>
      <c r="J35" s="1"/>
      <c r="L35" s="1"/>
      <c r="M35" s="1"/>
      <c r="N35" s="1"/>
      <c r="P35" s="1"/>
      <c r="Q35" s="1"/>
      <c r="R35" s="1"/>
      <c r="S35" s="1"/>
      <c r="T35" s="9">
        <v>-1905.84</v>
      </c>
      <c r="U35" s="9">
        <v>0</v>
      </c>
      <c r="V35" s="8">
        <f>T35+U35</f>
        <v>-1905.84</v>
      </c>
      <c r="X35" s="8">
        <f t="shared" si="13"/>
        <v>-1905.84</v>
      </c>
      <c r="Y35" s="8">
        <f t="shared" si="13"/>
        <v>0</v>
      </c>
      <c r="Z35" s="8">
        <f t="shared" si="13"/>
        <v>-1905.84</v>
      </c>
    </row>
    <row r="36" spans="2:26" x14ac:dyDescent="0.25">
      <c r="B36" s="2" t="s">
        <v>567</v>
      </c>
      <c r="C36" s="6" t="s">
        <v>16</v>
      </c>
      <c r="L36" s="1"/>
      <c r="M36" s="1"/>
      <c r="N36" s="1"/>
      <c r="P36" s="9">
        <v>0</v>
      </c>
      <c r="Q36" s="9">
        <v>0</v>
      </c>
      <c r="R36" s="8">
        <f>P36+Q36</f>
        <v>0</v>
      </c>
      <c r="S36" s="1"/>
      <c r="X36" s="8">
        <f t="shared" si="13"/>
        <v>0</v>
      </c>
      <c r="Y36" s="8">
        <f t="shared" si="13"/>
        <v>0</v>
      </c>
      <c r="Z36" s="8">
        <f t="shared" si="13"/>
        <v>0</v>
      </c>
    </row>
    <row r="37" spans="2:26" x14ac:dyDescent="0.25">
      <c r="B37" s="2" t="s">
        <v>504</v>
      </c>
      <c r="C37" s="6" t="s">
        <v>17</v>
      </c>
      <c r="L37" s="9">
        <f>-16858 - 131503.75 - 11637.5</f>
        <v>-159999.25</v>
      </c>
      <c r="M37" s="9">
        <v>0</v>
      </c>
      <c r="N37" s="8">
        <f>L37+M37</f>
        <v>-159999.25</v>
      </c>
      <c r="P37" s="9">
        <f>-113142 - 104373.47 - 111956.25 - 125000 - 510000 - 45266.04 + 262807.65</f>
        <v>-746930.11</v>
      </c>
      <c r="Q37" s="9">
        <v>0</v>
      </c>
      <c r="R37" s="8">
        <f>P37+Q37</f>
        <v>-746930.11</v>
      </c>
      <c r="X37" s="8">
        <f t="shared" ref="X37:Z38" si="14">D37+H37+L37+P37+T37</f>
        <v>-906929.36</v>
      </c>
      <c r="Y37" s="8">
        <f t="shared" si="14"/>
        <v>0</v>
      </c>
      <c r="Z37" s="8">
        <f t="shared" si="14"/>
        <v>-906929.36</v>
      </c>
    </row>
    <row r="38" spans="2:26" x14ac:dyDescent="0.25">
      <c r="B38" s="2" t="s">
        <v>481</v>
      </c>
      <c r="C38" s="6" t="s">
        <v>90</v>
      </c>
      <c r="H38" s="9">
        <v>0</v>
      </c>
      <c r="I38" s="9">
        <v>0</v>
      </c>
      <c r="J38" s="8">
        <f>H38+I38</f>
        <v>0</v>
      </c>
      <c r="X38" s="15">
        <f t="shared" si="14"/>
        <v>0</v>
      </c>
      <c r="Y38" s="15">
        <f t="shared" si="14"/>
        <v>0</v>
      </c>
      <c r="Z38" s="15">
        <f t="shared" si="14"/>
        <v>0</v>
      </c>
    </row>
    <row r="39" spans="2:26" x14ac:dyDescent="0.25">
      <c r="B39" s="24" t="s">
        <v>533</v>
      </c>
      <c r="C39" s="6" t="s">
        <v>534</v>
      </c>
      <c r="H39" s="9">
        <f>-6500-4500</f>
        <v>-11000</v>
      </c>
      <c r="I39" s="9">
        <v>0</v>
      </c>
      <c r="J39" s="8">
        <f>H39+I39</f>
        <v>-11000</v>
      </c>
      <c r="P39" s="1"/>
      <c r="X39" s="8">
        <f t="shared" si="13"/>
        <v>-11000</v>
      </c>
      <c r="Y39" s="8">
        <f t="shared" si="13"/>
        <v>0</v>
      </c>
      <c r="Z39" s="8">
        <f t="shared" si="13"/>
        <v>-11000</v>
      </c>
    </row>
    <row r="40" spans="2:26" x14ac:dyDescent="0.25">
      <c r="B40" s="2" t="s">
        <v>535</v>
      </c>
      <c r="C40" s="6" t="s">
        <v>536</v>
      </c>
      <c r="L40" s="9">
        <v>-21670</v>
      </c>
      <c r="M40" s="9">
        <v>0</v>
      </c>
      <c r="N40" s="8">
        <f>L40+M40</f>
        <v>-21670</v>
      </c>
      <c r="X40" s="8">
        <f t="shared" si="13"/>
        <v>-21670</v>
      </c>
      <c r="Y40" s="8">
        <f t="shared" si="13"/>
        <v>0</v>
      </c>
      <c r="Z40" s="8">
        <f t="shared" si="13"/>
        <v>-21670</v>
      </c>
    </row>
    <row r="41" spans="2:26" x14ac:dyDescent="0.25">
      <c r="B41" s="2" t="s">
        <v>525</v>
      </c>
      <c r="C41" s="6" t="s">
        <v>92</v>
      </c>
      <c r="L41" s="9">
        <v>-602.33000000000004</v>
      </c>
      <c r="M41" s="9">
        <v>0</v>
      </c>
      <c r="N41" s="8">
        <f>L41+M41</f>
        <v>-602.33000000000004</v>
      </c>
      <c r="X41" s="8">
        <f t="shared" si="13"/>
        <v>-602.33000000000004</v>
      </c>
      <c r="Y41" s="8">
        <f t="shared" si="13"/>
        <v>0</v>
      </c>
      <c r="Z41" s="8">
        <f t="shared" si="13"/>
        <v>-602.33000000000004</v>
      </c>
    </row>
    <row r="42" spans="2:26" x14ac:dyDescent="0.25">
      <c r="B42" s="2" t="s">
        <v>537</v>
      </c>
      <c r="C42" s="6" t="s">
        <v>538</v>
      </c>
      <c r="H42" s="9">
        <v>-2300</v>
      </c>
      <c r="I42" s="9">
        <v>0</v>
      </c>
      <c r="J42" s="8">
        <f>H42+I42</f>
        <v>-2300</v>
      </c>
      <c r="X42" s="8">
        <f t="shared" si="13"/>
        <v>-2300</v>
      </c>
      <c r="Y42" s="8">
        <f t="shared" si="13"/>
        <v>0</v>
      </c>
      <c r="Z42" s="8">
        <f t="shared" si="13"/>
        <v>-2300</v>
      </c>
    </row>
    <row r="43" spans="2:26" x14ac:dyDescent="0.25">
      <c r="B43" s="2" t="s">
        <v>539</v>
      </c>
      <c r="C43" s="6" t="s">
        <v>18</v>
      </c>
      <c r="D43" s="1"/>
      <c r="E43" s="1"/>
      <c r="F43" s="1"/>
      <c r="H43" s="1"/>
      <c r="I43" s="1"/>
      <c r="J43" s="1"/>
      <c r="L43" s="1"/>
      <c r="M43" s="1"/>
      <c r="N43" s="1"/>
      <c r="P43" s="9">
        <v>0</v>
      </c>
      <c r="Q43" s="9">
        <v>0</v>
      </c>
      <c r="R43" s="8">
        <f>P43+Q43</f>
        <v>0</v>
      </c>
      <c r="S43" s="1"/>
      <c r="T43" s="1"/>
      <c r="U43" s="1"/>
      <c r="V43" s="1"/>
      <c r="X43" s="8">
        <f t="shared" si="13"/>
        <v>0</v>
      </c>
      <c r="Y43" s="8">
        <f t="shared" si="13"/>
        <v>0</v>
      </c>
      <c r="Z43" s="8">
        <f t="shared" si="13"/>
        <v>0</v>
      </c>
    </row>
    <row r="44" spans="2:26" x14ac:dyDescent="0.25">
      <c r="B44" s="24" t="s">
        <v>602</v>
      </c>
      <c r="C44" s="6" t="s">
        <v>506</v>
      </c>
      <c r="D44" s="1"/>
      <c r="E44" s="1"/>
      <c r="F44" s="1"/>
      <c r="H44" s="9">
        <v>0</v>
      </c>
      <c r="I44" s="9">
        <v>0</v>
      </c>
      <c r="J44" s="8">
        <f>H44+I44</f>
        <v>0</v>
      </c>
      <c r="L44" s="1"/>
      <c r="M44" s="1"/>
      <c r="N44" s="1"/>
      <c r="S44" s="1"/>
      <c r="T44" s="1"/>
      <c r="U44" s="1"/>
      <c r="V44" s="1"/>
      <c r="X44" s="8">
        <f t="shared" si="13"/>
        <v>0</v>
      </c>
      <c r="Y44" s="8">
        <f t="shared" si="13"/>
        <v>0</v>
      </c>
      <c r="Z44" s="8">
        <f t="shared" si="13"/>
        <v>0</v>
      </c>
    </row>
    <row r="45" spans="2:26" x14ac:dyDescent="0.25">
      <c r="B45" s="24" t="s">
        <v>507</v>
      </c>
      <c r="C45" s="6" t="s">
        <v>508</v>
      </c>
      <c r="D45" s="1"/>
      <c r="E45" s="1"/>
      <c r="F45" s="1"/>
      <c r="H45" s="9">
        <v>0</v>
      </c>
      <c r="I45" s="9">
        <v>0</v>
      </c>
      <c r="J45" s="8">
        <f>H45+I45</f>
        <v>0</v>
      </c>
      <c r="L45" s="1"/>
      <c r="M45" s="1"/>
      <c r="N45" s="1"/>
      <c r="S45" s="1"/>
      <c r="T45" s="1"/>
      <c r="U45" s="1"/>
      <c r="V45" s="1"/>
      <c r="X45" s="8">
        <f t="shared" si="13"/>
        <v>0</v>
      </c>
      <c r="Y45" s="8">
        <f t="shared" si="13"/>
        <v>0</v>
      </c>
      <c r="Z45" s="8">
        <f t="shared" si="13"/>
        <v>0</v>
      </c>
    </row>
    <row r="46" spans="2:26" x14ac:dyDescent="0.25">
      <c r="B46" s="24" t="s">
        <v>509</v>
      </c>
      <c r="C46" s="6" t="s">
        <v>510</v>
      </c>
      <c r="D46" s="1"/>
      <c r="E46" s="1"/>
      <c r="F46" s="1"/>
      <c r="H46" s="1"/>
      <c r="I46" s="1"/>
      <c r="J46" s="1"/>
      <c r="L46" s="9">
        <v>-1821.92</v>
      </c>
      <c r="M46" s="9">
        <v>0</v>
      </c>
      <c r="N46" s="8">
        <f>L46+M46</f>
        <v>-1821.92</v>
      </c>
      <c r="S46" s="1"/>
      <c r="T46" s="1"/>
      <c r="U46" s="1"/>
      <c r="V46" s="1"/>
      <c r="X46" s="8">
        <f t="shared" si="13"/>
        <v>-1821.92</v>
      </c>
      <c r="Y46" s="8">
        <f t="shared" si="13"/>
        <v>0</v>
      </c>
      <c r="Z46" s="8">
        <f t="shared" si="13"/>
        <v>-1821.92</v>
      </c>
    </row>
    <row r="47" spans="2:26" x14ac:dyDescent="0.25">
      <c r="B47" s="2" t="s">
        <v>600</v>
      </c>
      <c r="C47" s="6" t="s">
        <v>511</v>
      </c>
      <c r="D47" s="1"/>
      <c r="E47" s="1"/>
      <c r="F47" s="1"/>
      <c r="H47" s="1"/>
      <c r="I47" s="1"/>
      <c r="J47" s="1"/>
      <c r="P47" s="9">
        <v>-200000</v>
      </c>
      <c r="Q47" s="9">
        <v>0</v>
      </c>
      <c r="R47" s="8">
        <f>P47+Q47</f>
        <v>-200000</v>
      </c>
      <c r="S47" s="1"/>
      <c r="T47" s="1"/>
      <c r="U47" s="1"/>
      <c r="V47" s="1"/>
      <c r="X47" s="8">
        <f t="shared" si="13"/>
        <v>-200000</v>
      </c>
      <c r="Y47" s="8">
        <f t="shared" si="13"/>
        <v>0</v>
      </c>
      <c r="Z47" s="8">
        <f t="shared" si="13"/>
        <v>-200000</v>
      </c>
    </row>
    <row r="48" spans="2:26" x14ac:dyDescent="0.25">
      <c r="B48" s="2" t="s">
        <v>603</v>
      </c>
      <c r="C48" s="6" t="s">
        <v>93</v>
      </c>
      <c r="D48" s="1"/>
      <c r="E48" s="1"/>
      <c r="F48" s="1"/>
      <c r="H48" s="9">
        <f>-3000-4000</f>
        <v>-7000</v>
      </c>
      <c r="I48" s="9">
        <v>0</v>
      </c>
      <c r="J48" s="8">
        <f>H48+I48</f>
        <v>-7000</v>
      </c>
      <c r="L48" s="1"/>
      <c r="M48" s="1"/>
      <c r="N48" s="1"/>
      <c r="T48" s="1"/>
      <c r="U48" s="1"/>
      <c r="V48" s="1"/>
      <c r="X48" s="8">
        <f t="shared" si="13"/>
        <v>-7000</v>
      </c>
      <c r="Y48" s="8">
        <f t="shared" si="13"/>
        <v>0</v>
      </c>
      <c r="Z48" s="8">
        <f t="shared" si="13"/>
        <v>-7000</v>
      </c>
    </row>
    <row r="49" spans="2:26" x14ac:dyDescent="0.25">
      <c r="B49" s="2" t="s">
        <v>512</v>
      </c>
      <c r="C49" s="6" t="s">
        <v>513</v>
      </c>
      <c r="D49" s="1"/>
      <c r="E49" s="1"/>
      <c r="F49" s="1"/>
      <c r="L49" s="1"/>
      <c r="M49" s="1"/>
      <c r="N49" s="1"/>
      <c r="P49" s="9">
        <v>-3040</v>
      </c>
      <c r="Q49" s="9">
        <v>0</v>
      </c>
      <c r="R49" s="8">
        <f>P49+Q49</f>
        <v>-3040</v>
      </c>
      <c r="T49" s="1"/>
      <c r="U49" s="1"/>
      <c r="V49" s="1"/>
      <c r="X49" s="8">
        <f t="shared" si="13"/>
        <v>-3040</v>
      </c>
      <c r="Y49" s="8">
        <f t="shared" si="13"/>
        <v>0</v>
      </c>
      <c r="Z49" s="8">
        <f t="shared" si="13"/>
        <v>-3040</v>
      </c>
    </row>
    <row r="50" spans="2:26" x14ac:dyDescent="0.25">
      <c r="B50" s="2" t="s">
        <v>514</v>
      </c>
      <c r="C50" s="6" t="s">
        <v>40</v>
      </c>
      <c r="D50" s="9">
        <f>-5183.3-4931.2</f>
        <v>-10114.5</v>
      </c>
      <c r="E50" s="9">
        <v>0</v>
      </c>
      <c r="F50" s="8">
        <f>D50+E50</f>
        <v>-10114.5</v>
      </c>
      <c r="H50" s="1"/>
      <c r="I50" s="1"/>
      <c r="J50" s="1"/>
      <c r="L50" s="1"/>
      <c r="M50" s="1"/>
      <c r="N50" s="1"/>
      <c r="X50" s="8">
        <f t="shared" si="13"/>
        <v>-10114.5</v>
      </c>
      <c r="Y50" s="8">
        <f t="shared" si="13"/>
        <v>0</v>
      </c>
      <c r="Z50" s="8">
        <f t="shared" si="13"/>
        <v>-10114.5</v>
      </c>
    </row>
    <row r="51" spans="2:26" ht="15.75" thickBot="1" x14ac:dyDescent="0.3">
      <c r="B51" s="24" t="s">
        <v>480</v>
      </c>
      <c r="C51" s="6" t="s">
        <v>19</v>
      </c>
      <c r="D51" s="9">
        <v>0</v>
      </c>
      <c r="E51" s="9">
        <v>0</v>
      </c>
      <c r="F51" s="8">
        <f>D51+E51</f>
        <v>0</v>
      </c>
      <c r="H51" s="1"/>
      <c r="I51" s="1"/>
      <c r="J51" s="1"/>
      <c r="L51" s="1"/>
      <c r="M51" s="1"/>
      <c r="N51" s="1"/>
      <c r="X51" s="8">
        <f t="shared" si="13"/>
        <v>0</v>
      </c>
      <c r="Y51" s="8">
        <f t="shared" si="13"/>
        <v>0</v>
      </c>
      <c r="Z51" s="8">
        <f t="shared" si="13"/>
        <v>0</v>
      </c>
    </row>
    <row r="52" spans="2:26" x14ac:dyDescent="0.25">
      <c r="B52" s="2" t="s">
        <v>31</v>
      </c>
      <c r="D52" s="26">
        <f>SUM(D34:D51)</f>
        <v>-10114.5</v>
      </c>
      <c r="E52" s="26">
        <f>SUM(E34:E51)</f>
        <v>0</v>
      </c>
      <c r="F52" s="26">
        <f>D52+E52</f>
        <v>-10114.5</v>
      </c>
      <c r="H52" s="26">
        <f>SUM(H34:H51)</f>
        <v>-20300</v>
      </c>
      <c r="I52" s="26">
        <f>SUM(I34:I51)</f>
        <v>0</v>
      </c>
      <c r="J52" s="26">
        <f>H52+I52</f>
        <v>-20300</v>
      </c>
      <c r="L52" s="26">
        <f>SUM(L34:L51)</f>
        <v>-184093.5</v>
      </c>
      <c r="M52" s="26">
        <f>SUM(M34:M51)</f>
        <v>0</v>
      </c>
      <c r="N52" s="26">
        <f>L52+M52</f>
        <v>-184093.5</v>
      </c>
      <c r="P52" s="26">
        <f>SUM(P34:P51)</f>
        <v>-949970.11</v>
      </c>
      <c r="Q52" s="26">
        <f>SUM(Q34:Q51)</f>
        <v>0</v>
      </c>
      <c r="R52" s="26">
        <f>P52+Q52</f>
        <v>-949970.11</v>
      </c>
      <c r="S52" s="1"/>
      <c r="T52" s="26">
        <f>SUM(T34:T51)</f>
        <v>-5356.71</v>
      </c>
      <c r="U52" s="26">
        <f>SUM(U34:U51)</f>
        <v>0</v>
      </c>
      <c r="V52" s="26">
        <f>T52+U52</f>
        <v>-5356.71</v>
      </c>
      <c r="X52" s="26">
        <f t="shared" si="13"/>
        <v>-1169834.8199999998</v>
      </c>
      <c r="Y52" s="26">
        <f t="shared" si="13"/>
        <v>0</v>
      </c>
      <c r="Z52" s="26">
        <f t="shared" si="13"/>
        <v>-1169834.8199999998</v>
      </c>
    </row>
    <row r="54" spans="2:26" x14ac:dyDescent="0.25">
      <c r="B54" s="5" t="s">
        <v>10</v>
      </c>
      <c r="L54" s="1"/>
      <c r="M54" s="1"/>
      <c r="N54" s="1"/>
      <c r="P54" s="1"/>
      <c r="Q54" s="1"/>
      <c r="R54" s="1"/>
      <c r="S54" s="1"/>
      <c r="T54" s="1"/>
      <c r="U54" s="1"/>
      <c r="V54" s="1"/>
    </row>
    <row r="55" spans="2:26" x14ac:dyDescent="0.25">
      <c r="B55" s="2" t="s">
        <v>79</v>
      </c>
      <c r="L55" s="1"/>
      <c r="M55" s="1"/>
      <c r="N55" s="1"/>
      <c r="P55" s="9">
        <v>0</v>
      </c>
      <c r="Q55" s="8">
        <f>-T55</f>
        <v>40643.29</v>
      </c>
      <c r="R55" s="8">
        <f>P55+Q55</f>
        <v>40643.29</v>
      </c>
      <c r="S55" s="1"/>
      <c r="T55" s="9">
        <f>-46000+5356.71</f>
        <v>-40643.29</v>
      </c>
      <c r="U55" s="9">
        <v>0</v>
      </c>
      <c r="V55" s="8">
        <f>T55+U55</f>
        <v>-40643.29</v>
      </c>
      <c r="X55" s="8">
        <f t="shared" ref="X55:Z58" si="15">D55+H55+L55+P55+T55</f>
        <v>-40643.29</v>
      </c>
      <c r="Y55" s="8">
        <f t="shared" si="15"/>
        <v>40643.29</v>
      </c>
      <c r="Z55" s="8">
        <f t="shared" si="15"/>
        <v>0</v>
      </c>
    </row>
    <row r="56" spans="2:26" x14ac:dyDescent="0.25">
      <c r="B56" s="2" t="s">
        <v>504</v>
      </c>
      <c r="C56" s="6" t="s">
        <v>17</v>
      </c>
      <c r="L56" s="9">
        <v>-5000.75</v>
      </c>
      <c r="M56" s="8">
        <f>-L56</f>
        <v>5000.75</v>
      </c>
      <c r="N56" s="8">
        <f>L56+M56</f>
        <v>0</v>
      </c>
      <c r="P56" s="9">
        <v>-91366.89</v>
      </c>
      <c r="Q56" s="8">
        <f>-P56</f>
        <v>91366.89</v>
      </c>
      <c r="R56" s="8">
        <f>P56+Q56</f>
        <v>0</v>
      </c>
      <c r="S56" s="1"/>
      <c r="X56" s="8">
        <f t="shared" ref="X56" si="16">D56+H56+L56+P56+T56</f>
        <v>-96367.64</v>
      </c>
      <c r="Y56" s="8">
        <f t="shared" ref="Y56" si="17">E56+I56+M56+Q56+U56</f>
        <v>96367.64</v>
      </c>
      <c r="Z56" s="8">
        <f t="shared" ref="Z56" si="18">F56+J56+N56+R56+V56</f>
        <v>0</v>
      </c>
    </row>
    <row r="57" spans="2:26" ht="15.75" thickBot="1" x14ac:dyDescent="0.3">
      <c r="B57" s="2" t="s">
        <v>537</v>
      </c>
      <c r="C57" s="6" t="s">
        <v>538</v>
      </c>
      <c r="H57" s="9">
        <v>-1200</v>
      </c>
      <c r="I57" s="8">
        <f>-H57</f>
        <v>1200</v>
      </c>
      <c r="J57" s="8">
        <f>H57+I57</f>
        <v>0</v>
      </c>
      <c r="L57" s="1"/>
      <c r="M57" s="1"/>
      <c r="N57" s="1"/>
      <c r="S57" s="1"/>
      <c r="X57" s="8">
        <f t="shared" si="15"/>
        <v>-1200</v>
      </c>
      <c r="Y57" s="8">
        <f t="shared" si="15"/>
        <v>1200</v>
      </c>
      <c r="Z57" s="8">
        <f t="shared" si="15"/>
        <v>0</v>
      </c>
    </row>
    <row r="58" spans="2:26" x14ac:dyDescent="0.25">
      <c r="B58" s="2" t="s">
        <v>32</v>
      </c>
      <c r="D58" s="26">
        <f>SUM(D54:D57)</f>
        <v>0</v>
      </c>
      <c r="E58" s="26">
        <f>SUM(E54:E57)</f>
        <v>0</v>
      </c>
      <c r="F58" s="26">
        <f>D58+E58</f>
        <v>0</v>
      </c>
      <c r="H58" s="26">
        <f>SUM(H54:H57)</f>
        <v>-1200</v>
      </c>
      <c r="I58" s="26">
        <f>SUM(I54:I57)</f>
        <v>1200</v>
      </c>
      <c r="J58" s="26">
        <f>SUM(J54:J57)</f>
        <v>0</v>
      </c>
      <c r="L58" s="26">
        <f>SUM(L54:L57)</f>
        <v>-5000.75</v>
      </c>
      <c r="M58" s="26">
        <f>SUM(M54:M57)</f>
        <v>5000.75</v>
      </c>
      <c r="N58" s="26">
        <f>L58+M58</f>
        <v>0</v>
      </c>
      <c r="P58" s="26">
        <f>SUM(P54:P57)</f>
        <v>-91366.89</v>
      </c>
      <c r="Q58" s="26">
        <f>SUM(Q54:Q57)</f>
        <v>132010.18</v>
      </c>
      <c r="R58" s="26">
        <f>P58+Q58</f>
        <v>40643.289999999994</v>
      </c>
      <c r="S58" s="1"/>
      <c r="T58" s="26">
        <f>SUM(T54:T57)</f>
        <v>-40643.29</v>
      </c>
      <c r="U58" s="26">
        <f>U52+SUM(U54:U57)</f>
        <v>0</v>
      </c>
      <c r="V58" s="26">
        <f>T58+U58</f>
        <v>-40643.29</v>
      </c>
      <c r="X58" s="26">
        <f t="shared" si="15"/>
        <v>-138210.93</v>
      </c>
      <c r="Y58" s="26">
        <f t="shared" si="15"/>
        <v>138210.93</v>
      </c>
      <c r="Z58" s="26">
        <f t="shared" si="15"/>
        <v>0</v>
      </c>
    </row>
    <row r="59" spans="2:26" x14ac:dyDescent="0.25">
      <c r="B59" s="2"/>
      <c r="D59" s="1"/>
      <c r="E59" s="1"/>
      <c r="F59" s="1"/>
      <c r="H59" s="1"/>
      <c r="L59" s="1"/>
      <c r="M59" s="1"/>
      <c r="N59" s="1"/>
    </row>
    <row r="60" spans="2:26" x14ac:dyDescent="0.25">
      <c r="B60" s="2" t="s">
        <v>516</v>
      </c>
      <c r="D60" s="8">
        <f>D7+D15+D20+D31+D52+D58</f>
        <v>39885.5</v>
      </c>
      <c r="E60" s="8">
        <f>E7+E15+E20+E31+E52+E58</f>
        <v>199444.58000000002</v>
      </c>
      <c r="F60" s="8">
        <f>D60+E60</f>
        <v>239330.08000000002</v>
      </c>
      <c r="H60" s="8">
        <f>H7+H15+H20+H31+H52+H58</f>
        <v>83500</v>
      </c>
      <c r="I60" s="8">
        <f>I7+I15+I20+I31+I52+I58</f>
        <v>90244.580000000016</v>
      </c>
      <c r="J60" s="8">
        <f>H60+I60</f>
        <v>173744.58000000002</v>
      </c>
      <c r="L60" s="8">
        <f>L7+L15+L20+L31+L52+L58</f>
        <v>4305.75</v>
      </c>
      <c r="M60" s="8">
        <f>M7+M15+M20+M31+M52+M58</f>
        <v>21045.33</v>
      </c>
      <c r="N60" s="8">
        <f>L60+M60</f>
        <v>25351.08</v>
      </c>
      <c r="P60" s="8">
        <f>P7+P15+P20+P31+P52+P58</f>
        <v>76208.340000000098</v>
      </c>
      <c r="Q60" s="8">
        <f>Q7+Q15+Q20+Q31+Q52+Q58</f>
        <v>501261.5400000001</v>
      </c>
      <c r="R60" s="8">
        <f>P60+Q60</f>
        <v>577469.88000000024</v>
      </c>
      <c r="T60" s="8">
        <f>T7+T15+T20+T31+T52+T58</f>
        <v>0</v>
      </c>
      <c r="U60" s="8">
        <f>U7+U15+U20+U31+U52+U58</f>
        <v>0</v>
      </c>
      <c r="V60" s="8">
        <f>T60+U60</f>
        <v>0</v>
      </c>
      <c r="X60" s="8">
        <f>D60+H60+L60+P60+T60</f>
        <v>203899.59000000008</v>
      </c>
      <c r="Y60" s="8">
        <f>E60+I60+M60+Q60+U60</f>
        <v>811996.03000000014</v>
      </c>
      <c r="Z60" s="8">
        <f>F60+J60+N60+R60+V60</f>
        <v>1015895.6200000003</v>
      </c>
    </row>
    <row r="61" spans="2:26" x14ac:dyDescent="0.25">
      <c r="B61" s="2"/>
      <c r="D61" s="1"/>
      <c r="E61" s="1"/>
      <c r="F61" s="1"/>
      <c r="H61" s="1"/>
    </row>
    <row r="62" spans="2:26" x14ac:dyDescent="0.25">
      <c r="B62" s="5" t="s">
        <v>605</v>
      </c>
    </row>
    <row r="63" spans="2:26" x14ac:dyDescent="0.25">
      <c r="B63" s="2" t="s">
        <v>52</v>
      </c>
      <c r="L63" s="1"/>
      <c r="M63" s="1"/>
      <c r="N63" s="1"/>
      <c r="P63" s="9">
        <v>0</v>
      </c>
      <c r="Q63" s="8">
        <f>-P63</f>
        <v>0</v>
      </c>
      <c r="R63" s="8">
        <f>P63+Q63</f>
        <v>0</v>
      </c>
      <c r="S63" s="1"/>
      <c r="T63" s="1"/>
      <c r="U63" s="1"/>
      <c r="V63" s="1"/>
      <c r="X63" s="8">
        <f t="shared" ref="X63:Z65" si="19">D63+H63+L63+P63+T63</f>
        <v>0</v>
      </c>
      <c r="Y63" s="8">
        <f t="shared" si="19"/>
        <v>0</v>
      </c>
      <c r="Z63" s="8">
        <f t="shared" si="19"/>
        <v>0</v>
      </c>
    </row>
    <row r="64" spans="2:26" ht="15.75" thickBot="1" x14ac:dyDescent="0.3">
      <c r="B64" s="2" t="s">
        <v>478</v>
      </c>
      <c r="C64" s="6" t="s">
        <v>17</v>
      </c>
      <c r="L64" s="14">
        <v>0</v>
      </c>
      <c r="M64" s="15">
        <f>-L64</f>
        <v>0</v>
      </c>
      <c r="N64" s="15">
        <f>L64+M64</f>
        <v>0</v>
      </c>
      <c r="P64" s="14">
        <v>0</v>
      </c>
      <c r="Q64" s="15">
        <f>-P64</f>
        <v>0</v>
      </c>
      <c r="R64" s="15">
        <f>P64+Q64</f>
        <v>0</v>
      </c>
      <c r="S64" s="1"/>
      <c r="X64" s="15">
        <f t="shared" si="19"/>
        <v>0</v>
      </c>
      <c r="Y64" s="15">
        <f t="shared" si="19"/>
        <v>0</v>
      </c>
      <c r="Z64" s="15">
        <f t="shared" si="19"/>
        <v>0</v>
      </c>
    </row>
    <row r="65" spans="1:26" x14ac:dyDescent="0.25">
      <c r="B65" s="2" t="s">
        <v>517</v>
      </c>
      <c r="D65" s="26">
        <f>SUM(D63:D64)</f>
        <v>0</v>
      </c>
      <c r="E65" s="26">
        <f>SUM(E63:E64)</f>
        <v>0</v>
      </c>
      <c r="F65" s="26">
        <f>D65+E65</f>
        <v>0</v>
      </c>
      <c r="H65" s="26">
        <f>SUM(H63:H64)</f>
        <v>0</v>
      </c>
      <c r="I65" s="26">
        <f>SUM(I63:I64)</f>
        <v>0</v>
      </c>
      <c r="J65" s="26">
        <f>H65+I65</f>
        <v>0</v>
      </c>
      <c r="L65" s="26">
        <f>SUM(L63:L64)</f>
        <v>0</v>
      </c>
      <c r="M65" s="26">
        <f>SUM(M63:M64)</f>
        <v>0</v>
      </c>
      <c r="N65" s="26">
        <f>L65+M65</f>
        <v>0</v>
      </c>
      <c r="P65" s="26">
        <f>SUM(P63:P64)</f>
        <v>0</v>
      </c>
      <c r="Q65" s="26">
        <f>SUM(Q63:Q64)</f>
        <v>0</v>
      </c>
      <c r="R65" s="26">
        <f>P65+Q65</f>
        <v>0</v>
      </c>
      <c r="S65" s="1"/>
      <c r="T65" s="26">
        <f>SUM(T63:T64)</f>
        <v>0</v>
      </c>
      <c r="U65" s="26">
        <f>SUM(U63:U64)</f>
        <v>0</v>
      </c>
      <c r="V65" s="26">
        <f>T65+U65</f>
        <v>0</v>
      </c>
      <c r="X65" s="26">
        <f t="shared" si="19"/>
        <v>0</v>
      </c>
      <c r="Y65" s="26">
        <f t="shared" si="19"/>
        <v>0</v>
      </c>
      <c r="Z65" s="26">
        <f t="shared" si="19"/>
        <v>0</v>
      </c>
    </row>
    <row r="66" spans="1:26" x14ac:dyDescent="0.25">
      <c r="L66" s="1"/>
      <c r="M66" s="1"/>
      <c r="N66" s="1"/>
      <c r="P66" s="1"/>
      <c r="Q66" s="1"/>
      <c r="R66" s="1"/>
      <c r="S66" s="1"/>
      <c r="T66" s="1"/>
      <c r="U66" s="1"/>
      <c r="V66" s="1"/>
      <c r="X66" s="1"/>
      <c r="Y66" s="1"/>
      <c r="Z66" s="1"/>
    </row>
    <row r="67" spans="1:26" ht="15.75" thickBot="1" x14ac:dyDescent="0.3">
      <c r="B67" s="2" t="s">
        <v>617</v>
      </c>
      <c r="D67" s="17">
        <f>ROUND(D60+D65,2)</f>
        <v>39885.5</v>
      </c>
      <c r="E67" s="17">
        <f>ROUND(E60+E65,2)</f>
        <v>199444.58</v>
      </c>
      <c r="F67" s="17">
        <f>D67+E67</f>
        <v>239330.08</v>
      </c>
      <c r="H67" s="17">
        <f>ROUND(H60+H65,2)</f>
        <v>83500</v>
      </c>
      <c r="I67" s="17">
        <f>ROUND(I60+I65,2)</f>
        <v>90244.58</v>
      </c>
      <c r="J67" s="17">
        <f>H67+I67</f>
        <v>173744.58000000002</v>
      </c>
      <c r="L67" s="17">
        <f>ROUND(L60+L65,2)</f>
        <v>4305.75</v>
      </c>
      <c r="M67" s="17">
        <f>ROUND(M60+M65,2)</f>
        <v>21045.33</v>
      </c>
      <c r="N67" s="17">
        <f>L67+M67</f>
        <v>25351.08</v>
      </c>
      <c r="P67" s="17">
        <f>ROUND(P60+P65,2)</f>
        <v>76208.34</v>
      </c>
      <c r="Q67" s="17">
        <f>ROUND(Q60+Q65,2)</f>
        <v>501261.54</v>
      </c>
      <c r="R67" s="17">
        <f>P67+Q67</f>
        <v>577469.88</v>
      </c>
      <c r="T67" s="17">
        <f>ROUND(T60+T65,2)</f>
        <v>0</v>
      </c>
      <c r="U67" s="17">
        <f>ROUND(U60+U65,2)</f>
        <v>0</v>
      </c>
      <c r="V67" s="17">
        <f>T67+U67</f>
        <v>0</v>
      </c>
      <c r="X67" s="17">
        <f>D67+H67+L67+P67+T67</f>
        <v>203899.59</v>
      </c>
      <c r="Y67" s="17">
        <f>E67+I67+M67+Q67+U67</f>
        <v>811996.03</v>
      </c>
      <c r="Z67" s="17">
        <f>F67+J67+N67+R67+V67</f>
        <v>1015895.6200000001</v>
      </c>
    </row>
    <row r="68" spans="1:26" ht="15.75" thickTop="1" x14ac:dyDescent="0.25">
      <c r="D68" s="1"/>
      <c r="E68" s="1"/>
      <c r="H68" s="1"/>
      <c r="I68" s="1"/>
      <c r="L68" s="1"/>
      <c r="M68" s="1"/>
      <c r="Q68" s="1"/>
    </row>
    <row r="69" spans="1:26" x14ac:dyDescent="0.25">
      <c r="E69" s="1"/>
      <c r="I69" s="1"/>
    </row>
    <row r="70" spans="1:26" x14ac:dyDescent="0.25">
      <c r="A70" s="35" t="s">
        <v>54</v>
      </c>
      <c r="B70" s="35"/>
      <c r="H70" s="1"/>
      <c r="M70" s="1"/>
    </row>
    <row r="72" spans="1:26" x14ac:dyDescent="0.25">
      <c r="B72" s="5" t="s">
        <v>518</v>
      </c>
    </row>
    <row r="73" spans="1:26" x14ac:dyDescent="0.25">
      <c r="B73" s="2" t="s">
        <v>747</v>
      </c>
      <c r="D73" s="9">
        <v>0</v>
      </c>
      <c r="E73" s="9">
        <f>500000/10</f>
        <v>50000</v>
      </c>
      <c r="F73" s="8">
        <f>D73+E73</f>
        <v>50000</v>
      </c>
      <c r="H73" s="9">
        <v>0</v>
      </c>
      <c r="I73" s="9">
        <f>500000/10</f>
        <v>50000</v>
      </c>
      <c r="J73" s="8">
        <f>H73+I73</f>
        <v>50000</v>
      </c>
      <c r="L73" s="9">
        <v>0</v>
      </c>
      <c r="M73" s="9">
        <f>500000/10</f>
        <v>50000</v>
      </c>
      <c r="N73" s="8">
        <f>L73+M73</f>
        <v>50000</v>
      </c>
      <c r="P73" s="9">
        <v>0</v>
      </c>
      <c r="Q73" s="9">
        <f>500000-E73-I73-M73</f>
        <v>350000</v>
      </c>
      <c r="R73" s="8">
        <f>P73+Q73</f>
        <v>350000</v>
      </c>
      <c r="T73" s="1"/>
      <c r="U73" s="1"/>
      <c r="V73" s="1"/>
      <c r="X73" s="8">
        <f t="shared" ref="X73:Z75" si="20">D73+H73+L73+P73+T73</f>
        <v>0</v>
      </c>
      <c r="Y73" s="8">
        <f t="shared" si="20"/>
        <v>500000</v>
      </c>
      <c r="Z73" s="8">
        <f t="shared" si="20"/>
        <v>500000</v>
      </c>
    </row>
    <row r="74" spans="1:26" ht="15.75" thickBot="1" x14ac:dyDescent="0.3">
      <c r="B74" s="2" t="s">
        <v>519</v>
      </c>
      <c r="D74" s="14">
        <v>0</v>
      </c>
      <c r="E74" s="14">
        <f>200000/10</f>
        <v>20000</v>
      </c>
      <c r="F74" s="15">
        <f>D74+E74</f>
        <v>20000</v>
      </c>
      <c r="H74" s="14">
        <v>0</v>
      </c>
      <c r="I74" s="14">
        <f>200000/10</f>
        <v>20000</v>
      </c>
      <c r="J74" s="15">
        <f>H74+I74</f>
        <v>20000</v>
      </c>
      <c r="L74" s="14">
        <v>0</v>
      </c>
      <c r="M74" s="14">
        <f>200000/10</f>
        <v>20000</v>
      </c>
      <c r="N74" s="15">
        <f>L74+M74</f>
        <v>20000</v>
      </c>
      <c r="P74" s="14">
        <v>0</v>
      </c>
      <c r="Q74" s="14">
        <f>200000-E74-I74-M74</f>
        <v>140000</v>
      </c>
      <c r="R74" s="15">
        <f>P74+Q74</f>
        <v>140000</v>
      </c>
      <c r="X74" s="15">
        <f t="shared" si="20"/>
        <v>0</v>
      </c>
      <c r="Y74" s="15">
        <f t="shared" si="20"/>
        <v>200000</v>
      </c>
      <c r="Z74" s="15">
        <f t="shared" si="20"/>
        <v>200000</v>
      </c>
    </row>
    <row r="75" spans="1:26" x14ac:dyDescent="0.25">
      <c r="B75" s="2" t="s">
        <v>520</v>
      </c>
      <c r="D75" s="26">
        <f>SUM(D73:D74)</f>
        <v>0</v>
      </c>
      <c r="E75" s="26">
        <f>SUM(E73:E74)</f>
        <v>70000</v>
      </c>
      <c r="F75" s="26">
        <f>D75+E75</f>
        <v>70000</v>
      </c>
      <c r="H75" s="26">
        <f>SUM(H73:H74)</f>
        <v>0</v>
      </c>
      <c r="I75" s="26">
        <f>SUM(I73:I74)</f>
        <v>70000</v>
      </c>
      <c r="J75" s="26">
        <f>H75+I75</f>
        <v>70000</v>
      </c>
      <c r="L75" s="26">
        <f>SUM(L73:L74)</f>
        <v>0</v>
      </c>
      <c r="M75" s="26">
        <f>SUM(M73:M74)</f>
        <v>70000</v>
      </c>
      <c r="N75" s="26">
        <f>L75+M75</f>
        <v>70000</v>
      </c>
      <c r="P75" s="26">
        <f>SUM(P73:P74)</f>
        <v>0</v>
      </c>
      <c r="Q75" s="26">
        <f>SUM(Q73:Q74)</f>
        <v>490000</v>
      </c>
      <c r="R75" s="26">
        <f>P75+Q75</f>
        <v>490000</v>
      </c>
      <c r="S75" s="1"/>
      <c r="T75" s="26">
        <f>SUM(T73:T74)</f>
        <v>0</v>
      </c>
      <c r="U75" s="26">
        <f>SUM(U73:U74)</f>
        <v>0</v>
      </c>
      <c r="V75" s="26">
        <f>T75+U75</f>
        <v>0</v>
      </c>
      <c r="X75" s="26">
        <f t="shared" si="20"/>
        <v>0</v>
      </c>
      <c r="Y75" s="26">
        <f t="shared" si="20"/>
        <v>700000</v>
      </c>
      <c r="Z75" s="26">
        <f t="shared" si="20"/>
        <v>700000</v>
      </c>
    </row>
    <row r="76" spans="1:26" x14ac:dyDescent="0.25">
      <c r="B76" s="2"/>
    </row>
    <row r="77" spans="1:26" x14ac:dyDescent="0.25">
      <c r="B77" s="5" t="s">
        <v>521</v>
      </c>
      <c r="Q77" s="1"/>
    </row>
    <row r="78" spans="1:26" x14ac:dyDescent="0.25">
      <c r="B78" s="2" t="s">
        <v>87</v>
      </c>
      <c r="H78" s="1"/>
      <c r="I78" s="1"/>
      <c r="J78" s="1"/>
      <c r="L78" s="1"/>
      <c r="M78" s="1"/>
      <c r="N78" s="1"/>
      <c r="P78" s="9">
        <v>0</v>
      </c>
      <c r="Q78" s="8">
        <f>-T78</f>
        <v>-35000</v>
      </c>
      <c r="R78" s="8">
        <f>P78+Q78</f>
        <v>-35000</v>
      </c>
      <c r="T78" s="9">
        <v>35000</v>
      </c>
      <c r="U78" s="9">
        <v>0</v>
      </c>
      <c r="V78" s="8">
        <f>T78+U78</f>
        <v>35000</v>
      </c>
      <c r="X78" s="8">
        <f t="shared" ref="X78:Z80" si="21">D78+H78+L78+P78+T78</f>
        <v>35000</v>
      </c>
      <c r="Y78" s="8">
        <f t="shared" si="21"/>
        <v>-35000</v>
      </c>
      <c r="Z78" s="8">
        <f t="shared" si="21"/>
        <v>0</v>
      </c>
    </row>
    <row r="79" spans="1:26" ht="15.75" thickBot="1" x14ac:dyDescent="0.3">
      <c r="B79" s="2" t="s">
        <v>478</v>
      </c>
      <c r="C79" s="6" t="s">
        <v>17</v>
      </c>
      <c r="H79" s="1"/>
      <c r="I79" s="1"/>
      <c r="J79" s="1"/>
      <c r="L79" s="9">
        <v>70000</v>
      </c>
      <c r="M79" s="8">
        <f>-L79</f>
        <v>-70000</v>
      </c>
      <c r="N79" s="8">
        <f>L79+M79</f>
        <v>0</v>
      </c>
      <c r="P79" s="9">
        <f>492213-L79</f>
        <v>422213</v>
      </c>
      <c r="Q79" s="8">
        <f>-P79</f>
        <v>-422213</v>
      </c>
      <c r="R79" s="8">
        <f>P79+Q79</f>
        <v>0</v>
      </c>
      <c r="X79" s="8">
        <f t="shared" si="21"/>
        <v>492213</v>
      </c>
      <c r="Y79" s="8">
        <f t="shared" si="21"/>
        <v>-492213</v>
      </c>
      <c r="Z79" s="8">
        <f t="shared" si="21"/>
        <v>0</v>
      </c>
    </row>
    <row r="80" spans="1:26" x14ac:dyDescent="0.25">
      <c r="B80" s="2" t="s">
        <v>522</v>
      </c>
      <c r="D80" s="26">
        <f>SUM(D78:D79)</f>
        <v>0</v>
      </c>
      <c r="E80" s="26">
        <f>SUM(E78:E79)</f>
        <v>0</v>
      </c>
      <c r="F80" s="26">
        <f>D80+E80</f>
        <v>0</v>
      </c>
      <c r="H80" s="26">
        <f>SUM(H78:H79)</f>
        <v>0</v>
      </c>
      <c r="I80" s="26">
        <f>SUM(I78:I79)</f>
        <v>0</v>
      </c>
      <c r="J80" s="26">
        <f>H80+I80</f>
        <v>0</v>
      </c>
      <c r="L80" s="26">
        <f>SUM(L78:L79)</f>
        <v>70000</v>
      </c>
      <c r="M80" s="26">
        <f>SUM(M78:M79)</f>
        <v>-70000</v>
      </c>
      <c r="N80" s="26">
        <f>L80+M80</f>
        <v>0</v>
      </c>
      <c r="P80" s="26">
        <f>SUM(P78:P79)</f>
        <v>422213</v>
      </c>
      <c r="Q80" s="26">
        <f>SUM(Q78:Q79)</f>
        <v>-457213</v>
      </c>
      <c r="R80" s="26">
        <f>P80+Q80</f>
        <v>-35000</v>
      </c>
      <c r="S80" s="1"/>
      <c r="T80" s="26">
        <f>SUM(T78:T79)</f>
        <v>35000</v>
      </c>
      <c r="U80" s="26">
        <f>SUM(U78:U79)</f>
        <v>0</v>
      </c>
      <c r="V80" s="26">
        <f>T80+U80</f>
        <v>35000</v>
      </c>
      <c r="X80" s="26">
        <f t="shared" si="21"/>
        <v>527213</v>
      </c>
      <c r="Y80" s="26">
        <f t="shared" si="21"/>
        <v>-527213</v>
      </c>
      <c r="Z80" s="26">
        <f t="shared" si="21"/>
        <v>0</v>
      </c>
    </row>
    <row r="81" spans="2:26" x14ac:dyDescent="0.25">
      <c r="B81" s="2"/>
    </row>
    <row r="82" spans="2:26" x14ac:dyDescent="0.25">
      <c r="B82" s="2" t="s">
        <v>523</v>
      </c>
      <c r="D82" s="8">
        <f>D75+D80</f>
        <v>0</v>
      </c>
      <c r="E82" s="8">
        <f>E75+E80</f>
        <v>70000</v>
      </c>
      <c r="F82" s="8">
        <f>D82+E82</f>
        <v>70000</v>
      </c>
      <c r="H82" s="8">
        <f>H75+H80</f>
        <v>0</v>
      </c>
      <c r="I82" s="8">
        <f>I75+I80</f>
        <v>70000</v>
      </c>
      <c r="J82" s="8">
        <f>H82+I82</f>
        <v>70000</v>
      </c>
      <c r="L82" s="8">
        <f>L75+L80</f>
        <v>70000</v>
      </c>
      <c r="M82" s="8">
        <f>M75+M80</f>
        <v>0</v>
      </c>
      <c r="N82" s="8">
        <f>L82+M82</f>
        <v>70000</v>
      </c>
      <c r="P82" s="8">
        <f>P75+P80</f>
        <v>422213</v>
      </c>
      <c r="Q82" s="8">
        <f>Q75+Q80</f>
        <v>32787</v>
      </c>
      <c r="R82" s="8">
        <f>P82+Q82</f>
        <v>455000</v>
      </c>
      <c r="T82" s="8">
        <f>T75+T80</f>
        <v>35000</v>
      </c>
      <c r="U82" s="8">
        <f>U75+U80</f>
        <v>0</v>
      </c>
      <c r="V82" s="8">
        <f>T82+U82</f>
        <v>35000</v>
      </c>
      <c r="X82" s="8">
        <f>D82+H82+L82+P82+T82</f>
        <v>527213</v>
      </c>
      <c r="Y82" s="8">
        <f>E82+I82+M82+Q82+U82</f>
        <v>172787</v>
      </c>
      <c r="Z82" s="8">
        <f>F82+J82+N82+R82+V82</f>
        <v>700000</v>
      </c>
    </row>
    <row r="83" spans="2:26" x14ac:dyDescent="0.25">
      <c r="B83" s="2"/>
    </row>
    <row r="85" spans="2:26" x14ac:dyDescent="0.25">
      <c r="D85" t="s">
        <v>72</v>
      </c>
    </row>
    <row r="86" spans="2:26" x14ac:dyDescent="0.25">
      <c r="D86" s="2"/>
      <c r="Q86" s="1"/>
    </row>
    <row r="87" spans="2:26" x14ac:dyDescent="0.25">
      <c r="D87" s="2" t="s">
        <v>58</v>
      </c>
      <c r="E87" t="s">
        <v>620</v>
      </c>
    </row>
    <row r="88" spans="2:26" x14ac:dyDescent="0.25">
      <c r="D88" s="2"/>
      <c r="E88" t="s">
        <v>618</v>
      </c>
    </row>
    <row r="89" spans="2:26" x14ac:dyDescent="0.25">
      <c r="D89" s="2"/>
      <c r="E89" t="s">
        <v>621</v>
      </c>
    </row>
    <row r="90" spans="2:26" x14ac:dyDescent="0.25">
      <c r="D90" s="2"/>
    </row>
    <row r="91" spans="2:26" x14ac:dyDescent="0.25">
      <c r="D91" s="2" t="s">
        <v>60</v>
      </c>
      <c r="E91" t="s">
        <v>622</v>
      </c>
    </row>
    <row r="92" spans="2:26" x14ac:dyDescent="0.25">
      <c r="D92" s="2"/>
      <c r="E92" t="s">
        <v>623</v>
      </c>
    </row>
    <row r="93" spans="2:26" x14ac:dyDescent="0.25">
      <c r="D93" s="2"/>
    </row>
    <row r="94" spans="2:26" x14ac:dyDescent="0.25">
      <c r="D94" s="2" t="s">
        <v>109</v>
      </c>
      <c r="E94" t="s">
        <v>624</v>
      </c>
    </row>
    <row r="95" spans="2:26" x14ac:dyDescent="0.25">
      <c r="D95" s="2"/>
      <c r="E95" t="s">
        <v>625</v>
      </c>
    </row>
    <row r="96" spans="2:26" x14ac:dyDescent="0.25">
      <c r="D96" s="2"/>
    </row>
    <row r="97" spans="4:18" x14ac:dyDescent="0.25">
      <c r="D97" s="2" t="s">
        <v>119</v>
      </c>
      <c r="E97" t="s">
        <v>626</v>
      </c>
    </row>
    <row r="98" spans="4:18" x14ac:dyDescent="0.25">
      <c r="D98" s="2"/>
      <c r="E98" t="s">
        <v>627</v>
      </c>
    </row>
    <row r="99" spans="4:18" x14ac:dyDescent="0.25">
      <c r="E99" s="2"/>
    </row>
    <row r="102" spans="4:18" x14ac:dyDescent="0.25">
      <c r="D102" t="s">
        <v>619</v>
      </c>
    </row>
    <row r="104" spans="4:18" x14ac:dyDescent="0.25">
      <c r="D104" s="36" t="s">
        <v>3</v>
      </c>
      <c r="E104" s="36"/>
      <c r="F104" s="36"/>
      <c r="H104" s="36" t="s">
        <v>4</v>
      </c>
      <c r="I104" s="36"/>
      <c r="J104" s="36"/>
      <c r="L104" s="36" t="s">
        <v>2</v>
      </c>
      <c r="M104" s="36"/>
      <c r="N104" s="36"/>
      <c r="P104" s="36" t="s">
        <v>13</v>
      </c>
      <c r="Q104" s="36"/>
      <c r="R104" s="36"/>
    </row>
    <row r="105" spans="4:18" x14ac:dyDescent="0.25">
      <c r="D105" s="6"/>
      <c r="E105" s="6"/>
      <c r="F105" s="6"/>
      <c r="H105" s="6"/>
      <c r="I105" s="6"/>
      <c r="J105" s="6"/>
    </row>
    <row r="106" spans="4:18" x14ac:dyDescent="0.25">
      <c r="E106" s="6" t="s">
        <v>110</v>
      </c>
      <c r="F106" s="6" t="s">
        <v>111</v>
      </c>
      <c r="I106" s="6" t="s">
        <v>110</v>
      </c>
      <c r="J106" s="6" t="s">
        <v>111</v>
      </c>
      <c r="M106" s="6" t="s">
        <v>110</v>
      </c>
      <c r="N106" s="6" t="s">
        <v>111</v>
      </c>
      <c r="Q106" s="6" t="s">
        <v>110</v>
      </c>
      <c r="R106" s="6" t="s">
        <v>111</v>
      </c>
    </row>
    <row r="107" spans="4:18" x14ac:dyDescent="0.25">
      <c r="F107" s="6"/>
    </row>
    <row r="108" spans="4:18" x14ac:dyDescent="0.25">
      <c r="E108" s="2" t="s">
        <v>113</v>
      </c>
      <c r="F108" s="13">
        <v>0</v>
      </c>
      <c r="I108" s="2" t="s">
        <v>481</v>
      </c>
      <c r="J108" s="9">
        <f>'FY07'!H22+'FY07'!H37</f>
        <v>18500</v>
      </c>
      <c r="M108" s="2" t="s">
        <v>535</v>
      </c>
      <c r="N108" s="14">
        <f>'FY07'!L25+'FY07'!L40</f>
        <v>25000</v>
      </c>
      <c r="Q108" s="2" t="s">
        <v>567</v>
      </c>
      <c r="R108" s="9">
        <f>'FY07'!R95+'FY07'!P35</f>
        <v>19248.34</v>
      </c>
    </row>
    <row r="109" spans="4:18" x14ac:dyDescent="0.25">
      <c r="I109" s="24" t="s">
        <v>533</v>
      </c>
      <c r="J109" s="9">
        <f>'FY07'!H24+'FY07'!H39</f>
        <v>11000</v>
      </c>
      <c r="M109" s="2" t="s">
        <v>525</v>
      </c>
      <c r="N109" s="14">
        <f>'FY07'!L26+'FY07'!L41</f>
        <v>1500</v>
      </c>
      <c r="Q109" s="2" t="s">
        <v>539</v>
      </c>
      <c r="R109" s="9">
        <f>'FY07'!P28+'FY07'!P43</f>
        <v>50000</v>
      </c>
    </row>
    <row r="110" spans="4:18" x14ac:dyDescent="0.25">
      <c r="I110" s="2" t="s">
        <v>537</v>
      </c>
      <c r="J110" s="9">
        <f>'FY07'!H27+'FY07'!H42</f>
        <v>3500</v>
      </c>
      <c r="M110" s="2" t="s">
        <v>504</v>
      </c>
      <c r="N110" s="14">
        <f>'FY07'!L55</f>
        <v>73000</v>
      </c>
      <c r="Q110" s="2" t="s">
        <v>504</v>
      </c>
      <c r="R110" s="9">
        <f>'FY07'!P55</f>
        <v>240297</v>
      </c>
    </row>
    <row r="111" spans="4:18" x14ac:dyDescent="0.25">
      <c r="I111" s="2" t="s">
        <v>113</v>
      </c>
      <c r="J111" s="13">
        <f>SUM(J108:J110)</f>
        <v>33000</v>
      </c>
      <c r="M111" s="2" t="s">
        <v>113</v>
      </c>
      <c r="N111" s="13">
        <f>SUM(N108:N110)</f>
        <v>99500</v>
      </c>
      <c r="Q111" s="2" t="s">
        <v>113</v>
      </c>
      <c r="R111" s="13">
        <f>SUM(R108:R110)</f>
        <v>309545.33999999997</v>
      </c>
    </row>
    <row r="112" spans="4:18" x14ac:dyDescent="0.25">
      <c r="Q112" s="2"/>
    </row>
    <row r="113" spans="13:13" x14ac:dyDescent="0.25">
      <c r="M113" s="2"/>
    </row>
    <row r="114" spans="13:13" x14ac:dyDescent="0.25">
      <c r="M114" s="2"/>
    </row>
    <row r="115" spans="13:13" x14ac:dyDescent="0.25">
      <c r="M115" s="2"/>
    </row>
  </sheetData>
  <mergeCells count="11">
    <mergeCell ref="X4:Z4"/>
    <mergeCell ref="A70:B70"/>
    <mergeCell ref="D104:F104"/>
    <mergeCell ref="H104:J104"/>
    <mergeCell ref="L104:N104"/>
    <mergeCell ref="P104:R104"/>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2:Z97"/>
  <sheetViews>
    <sheetView workbookViewId="0">
      <pane xSplit="3" ySplit="6" topLeftCell="D42" activePane="bottomRight" state="frozen"/>
      <selection activeCell="C9" sqref="C9"/>
      <selection pane="topRight" activeCell="C9" sqref="C9"/>
      <selection pane="bottomLeft" activeCell="C9" sqref="C9"/>
      <selection pane="bottomRight" activeCell="A70" sqref="A70"/>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4.7109375" customWidth="1"/>
    <col min="27" max="27" width="12.7109375" customWidth="1"/>
    <col min="28" max="28" width="14.28515625" customWidth="1"/>
    <col min="29" max="54" width="12.7109375" customWidth="1"/>
  </cols>
  <sheetData>
    <row r="2" spans="2:26" x14ac:dyDescent="0.25">
      <c r="D2" t="s">
        <v>526</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527</v>
      </c>
      <c r="D7" s="9">
        <f>'FY06'!D47</f>
        <v>0</v>
      </c>
      <c r="E7" s="9">
        <f>'FY06'!E47</f>
        <v>46589.46</v>
      </c>
      <c r="F7" s="8">
        <f>D7+E7</f>
        <v>46589.46</v>
      </c>
      <c r="H7" s="9">
        <f>'FY06'!H47</f>
        <v>23000</v>
      </c>
      <c r="I7" s="9">
        <f>'FY06'!I47</f>
        <v>14589.46</v>
      </c>
      <c r="J7" s="8">
        <f>H7+I7</f>
        <v>37589.46</v>
      </c>
      <c r="L7" s="9">
        <f>'FY06'!L47</f>
        <v>0</v>
      </c>
      <c r="M7" s="9">
        <f>'FY06'!M47</f>
        <v>6589.46</v>
      </c>
      <c r="N7" s="8">
        <f>L7+M7</f>
        <v>6589.46</v>
      </c>
      <c r="P7" s="9">
        <f>'FY06'!P47</f>
        <v>30663.34</v>
      </c>
      <c r="Q7" s="9">
        <f>'FY06'!Q47</f>
        <v>106870.68</v>
      </c>
      <c r="R7" s="8">
        <f>P7+Q7</f>
        <v>137534.01999999999</v>
      </c>
      <c r="S7" s="1"/>
      <c r="T7" s="9">
        <v>0</v>
      </c>
      <c r="U7" s="9">
        <v>0</v>
      </c>
      <c r="V7" s="8">
        <f>T7+U7</f>
        <v>0</v>
      </c>
      <c r="X7" s="8">
        <f>D7+H7+L7+P7+T7</f>
        <v>53663.34</v>
      </c>
      <c r="Y7" s="8">
        <f>E7+I7+M7+Q7+U7</f>
        <v>174639.06</v>
      </c>
      <c r="Z7" s="8">
        <f>F7+J7+N7+R7+V7</f>
        <v>228302.4</v>
      </c>
    </row>
    <row r="9" spans="2:26" x14ac:dyDescent="0.25">
      <c r="B9" s="5" t="s">
        <v>11</v>
      </c>
      <c r="Y9" s="1"/>
      <c r="Z9" s="1"/>
    </row>
    <row r="10" spans="2:26" x14ac:dyDescent="0.25">
      <c r="B10" s="2" t="s">
        <v>748</v>
      </c>
      <c r="D10" s="9">
        <v>0</v>
      </c>
      <c r="E10" s="9">
        <f>ROUND(494536.13/10,2)</f>
        <v>49453.61</v>
      </c>
      <c r="F10" s="8">
        <f>D10+E10</f>
        <v>49453.61</v>
      </c>
      <c r="H10" s="9">
        <v>0</v>
      </c>
      <c r="I10" s="9">
        <f>ROUND(494536.13/10,2)</f>
        <v>49453.61</v>
      </c>
      <c r="J10" s="8">
        <f>H10+I10</f>
        <v>49453.61</v>
      </c>
      <c r="L10" s="9">
        <v>0</v>
      </c>
      <c r="M10" s="9">
        <f>ROUND(494536.13/10,2)</f>
        <v>49453.61</v>
      </c>
      <c r="N10" s="8">
        <f>L10+M10</f>
        <v>49453.61</v>
      </c>
      <c r="P10" s="9">
        <v>0</v>
      </c>
      <c r="Q10" s="9">
        <f>494536.13-E10-I10-M10</f>
        <v>346175.30000000005</v>
      </c>
      <c r="R10" s="8">
        <f>P10+Q10</f>
        <v>346175.30000000005</v>
      </c>
      <c r="S10" s="1"/>
      <c r="T10" s="1"/>
      <c r="U10" s="1"/>
      <c r="V10" s="1"/>
      <c r="X10" s="8">
        <f t="shared" ref="X10:Z15" si="0">D10+H10+L10+P10+T10</f>
        <v>0</v>
      </c>
      <c r="Y10" s="8">
        <f t="shared" si="0"/>
        <v>494536.13000000006</v>
      </c>
      <c r="Z10" s="8">
        <f t="shared" si="0"/>
        <v>494536.13000000006</v>
      </c>
    </row>
    <row r="11" spans="2:26" x14ac:dyDescent="0.25">
      <c r="B11" s="2" t="s">
        <v>5</v>
      </c>
      <c r="D11" s="9">
        <v>0</v>
      </c>
      <c r="E11" s="9">
        <v>0</v>
      </c>
      <c r="F11" s="8">
        <f>D11+E11</f>
        <v>0</v>
      </c>
      <c r="H11" s="9">
        <v>0</v>
      </c>
      <c r="I11" s="9">
        <v>0</v>
      </c>
      <c r="J11" s="8">
        <f>H11+I11</f>
        <v>0</v>
      </c>
      <c r="L11" s="9">
        <v>0</v>
      </c>
      <c r="M11" s="9">
        <v>0</v>
      </c>
      <c r="N11" s="8">
        <f>L11+M11</f>
        <v>0</v>
      </c>
      <c r="P11" s="9">
        <v>0</v>
      </c>
      <c r="Q11" s="9">
        <v>0</v>
      </c>
      <c r="R11" s="8">
        <f>P11+Q11</f>
        <v>0</v>
      </c>
      <c r="S11" s="1"/>
      <c r="T11" s="1"/>
      <c r="U11" s="1"/>
      <c r="V11" s="1"/>
      <c r="X11" s="8">
        <f t="shared" si="0"/>
        <v>0</v>
      </c>
      <c r="Y11" s="8">
        <f t="shared" si="0"/>
        <v>0</v>
      </c>
      <c r="Z11" s="8">
        <f t="shared" si="0"/>
        <v>0</v>
      </c>
    </row>
    <row r="12" spans="2:26" x14ac:dyDescent="0.25">
      <c r="B12" s="2" t="s">
        <v>528</v>
      </c>
      <c r="D12" s="9">
        <v>0</v>
      </c>
      <c r="E12" s="9">
        <f>472312/10</f>
        <v>47231.199999999997</v>
      </c>
      <c r="F12" s="8">
        <f>D12+E12</f>
        <v>47231.199999999997</v>
      </c>
      <c r="H12" s="9">
        <v>0</v>
      </c>
      <c r="I12" s="9">
        <f>472312/10</f>
        <v>47231.199999999997</v>
      </c>
      <c r="J12" s="8">
        <f>H12+I12</f>
        <v>47231.199999999997</v>
      </c>
      <c r="L12" s="9">
        <v>0</v>
      </c>
      <c r="M12" s="9">
        <f>472312/10</f>
        <v>47231.199999999997</v>
      </c>
      <c r="N12" s="8">
        <f>L12+M12</f>
        <v>47231.199999999997</v>
      </c>
      <c r="P12" s="9">
        <v>0</v>
      </c>
      <c r="Q12" s="9">
        <f>472312-E12-I12-M12</f>
        <v>330618.39999999997</v>
      </c>
      <c r="R12" s="8">
        <f>P12+Q12</f>
        <v>330618.39999999997</v>
      </c>
      <c r="S12" s="1"/>
      <c r="T12" s="1"/>
      <c r="U12" s="1"/>
      <c r="V12" s="1"/>
      <c r="X12" s="8">
        <f t="shared" si="0"/>
        <v>0</v>
      </c>
      <c r="Y12" s="8">
        <f t="shared" si="0"/>
        <v>472311.99999999994</v>
      </c>
      <c r="Z12" s="8">
        <f t="shared" si="0"/>
        <v>472311.99999999994</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529</v>
      </c>
      <c r="D14" s="14">
        <v>0</v>
      </c>
      <c r="E14" s="14">
        <f>ROUND(24994.21/10,2)</f>
        <v>2499.42</v>
      </c>
      <c r="F14" s="15">
        <f>D14+E14</f>
        <v>2499.42</v>
      </c>
      <c r="H14" s="14">
        <v>0</v>
      </c>
      <c r="I14" s="14">
        <f>ROUND(24994.21/10,2)</f>
        <v>2499.42</v>
      </c>
      <c r="J14" s="15">
        <f>H14+I14</f>
        <v>2499.42</v>
      </c>
      <c r="L14" s="14">
        <v>0</v>
      </c>
      <c r="M14" s="14">
        <f>ROUND(24994.21/10,2)</f>
        <v>2499.42</v>
      </c>
      <c r="N14" s="15">
        <f>L14+M14</f>
        <v>2499.42</v>
      </c>
      <c r="P14" s="14">
        <v>0</v>
      </c>
      <c r="Q14" s="14">
        <f>24994.21-E14-I14-M14</f>
        <v>17495.950000000004</v>
      </c>
      <c r="R14" s="15">
        <f>P14+Q14</f>
        <v>17495.950000000004</v>
      </c>
      <c r="S14" s="1"/>
      <c r="T14" s="3"/>
      <c r="U14" s="3"/>
      <c r="V14" s="3"/>
      <c r="X14" s="15">
        <f t="shared" si="0"/>
        <v>0</v>
      </c>
      <c r="Y14" s="15">
        <f t="shared" si="0"/>
        <v>24994.210000000006</v>
      </c>
      <c r="Z14" s="15">
        <f t="shared" si="0"/>
        <v>24994.210000000006</v>
      </c>
    </row>
    <row r="15" spans="2:26" x14ac:dyDescent="0.25">
      <c r="B15" s="2" t="s">
        <v>28</v>
      </c>
      <c r="D15" s="26">
        <f>SUM(D10:D14)</f>
        <v>0</v>
      </c>
      <c r="E15" s="26">
        <f>SUM(E10:E14)</f>
        <v>99184.23</v>
      </c>
      <c r="F15" s="26">
        <f>D15+E15</f>
        <v>99184.23</v>
      </c>
      <c r="H15" s="26">
        <f>SUM(H10:H14)</f>
        <v>0</v>
      </c>
      <c r="I15" s="26">
        <f>SUM(I10:I14)</f>
        <v>99184.23</v>
      </c>
      <c r="J15" s="26">
        <f>H15+I15</f>
        <v>99184.23</v>
      </c>
      <c r="L15" s="26">
        <f>SUM(L10:L14)</f>
        <v>0</v>
      </c>
      <c r="M15" s="26">
        <f>SUM(M10:M14)</f>
        <v>99184.23</v>
      </c>
      <c r="N15" s="26">
        <f>L15+M15</f>
        <v>99184.23</v>
      </c>
      <c r="P15" s="26">
        <f>SUM(P10:P14)</f>
        <v>0</v>
      </c>
      <c r="Q15" s="26">
        <f>SUM(Q10:Q14)</f>
        <v>694289.64999999991</v>
      </c>
      <c r="R15" s="26">
        <f>P15+Q15</f>
        <v>694289.64999999991</v>
      </c>
      <c r="S15" s="1"/>
      <c r="T15" s="26">
        <f>SUM(T10:T14)</f>
        <v>0</v>
      </c>
      <c r="U15" s="26">
        <f>SUM(U10:U14)</f>
        <v>0</v>
      </c>
      <c r="V15" s="26">
        <f>T15+U15</f>
        <v>0</v>
      </c>
      <c r="X15" s="26">
        <f t="shared" si="0"/>
        <v>0</v>
      </c>
      <c r="Y15" s="26">
        <f t="shared" si="0"/>
        <v>991842.33999999985</v>
      </c>
      <c r="Z15" s="26">
        <f t="shared" si="0"/>
        <v>991842.33999999985</v>
      </c>
    </row>
    <row r="16" spans="2:26" x14ac:dyDescent="0.25">
      <c r="D16" s="1"/>
      <c r="E16" s="1"/>
      <c r="F16" s="1"/>
      <c r="H16" s="1"/>
      <c r="I16" s="1"/>
      <c r="J16" s="1"/>
      <c r="L16" s="1"/>
      <c r="M16" s="1"/>
      <c r="N16" s="1"/>
      <c r="P16" s="1"/>
      <c r="Q16" s="1"/>
      <c r="R16" s="1"/>
      <c r="S16" s="1"/>
      <c r="T16" s="1"/>
      <c r="U16" s="1"/>
      <c r="V16" s="1"/>
    </row>
    <row r="17" spans="2:26" x14ac:dyDescent="0.25">
      <c r="B17" s="5" t="s">
        <v>530</v>
      </c>
      <c r="D17" s="1"/>
      <c r="E17" s="1"/>
      <c r="F17" s="1"/>
      <c r="H17" s="1"/>
      <c r="I17" s="1"/>
      <c r="J17" s="1"/>
      <c r="L17" s="1"/>
      <c r="M17" s="1"/>
      <c r="N17" s="1"/>
      <c r="P17" s="1"/>
      <c r="Q17" s="1"/>
      <c r="R17" s="1"/>
      <c r="S17" s="1"/>
      <c r="T17" s="1"/>
      <c r="U17" s="1"/>
      <c r="V17" s="1"/>
    </row>
    <row r="18" spans="2:26" ht="15.75" thickBot="1" x14ac:dyDescent="0.3">
      <c r="B18" s="2" t="s">
        <v>88</v>
      </c>
      <c r="D18" s="1"/>
      <c r="E18" s="1"/>
      <c r="F18" s="1"/>
      <c r="H18" s="1"/>
      <c r="I18" s="1"/>
      <c r="J18" s="1"/>
      <c r="L18" s="1"/>
      <c r="M18" s="1"/>
      <c r="N18" s="1"/>
      <c r="P18" s="9">
        <v>0</v>
      </c>
      <c r="Q18" s="8">
        <f>-T18</f>
        <v>-46000</v>
      </c>
      <c r="R18" s="8">
        <f>P18+Q18</f>
        <v>-46000</v>
      </c>
      <c r="S18" s="1"/>
      <c r="T18" s="9">
        <v>46000</v>
      </c>
      <c r="U18" s="9">
        <v>0</v>
      </c>
      <c r="V18" s="8">
        <f>T18+U18</f>
        <v>46000</v>
      </c>
      <c r="X18" s="8">
        <f t="shared" ref="X18:Z19" si="8">D18+H18+L18+P18+T18</f>
        <v>46000</v>
      </c>
      <c r="Y18" s="8">
        <f t="shared" si="8"/>
        <v>-46000</v>
      </c>
      <c r="Z18" s="8">
        <f t="shared" si="8"/>
        <v>0</v>
      </c>
    </row>
    <row r="19" spans="2:26" x14ac:dyDescent="0.25">
      <c r="B19" s="2" t="s">
        <v>531</v>
      </c>
      <c r="D19" s="26">
        <f>SUM(D18:D18)</f>
        <v>0</v>
      </c>
      <c r="E19" s="26">
        <f>SUM(E18:E18)</f>
        <v>0</v>
      </c>
      <c r="F19" s="26">
        <f>D19+E19</f>
        <v>0</v>
      </c>
      <c r="H19" s="26">
        <f>SUM(H18:H18)</f>
        <v>0</v>
      </c>
      <c r="I19" s="26">
        <f>SUM(I18:I18)</f>
        <v>0</v>
      </c>
      <c r="J19" s="26">
        <f>H19+I19</f>
        <v>0</v>
      </c>
      <c r="L19" s="26">
        <f>SUM(L18:L18)</f>
        <v>0</v>
      </c>
      <c r="M19" s="26">
        <f>SUM(M18:M18)</f>
        <v>0</v>
      </c>
      <c r="N19" s="26">
        <f>L19+M19</f>
        <v>0</v>
      </c>
      <c r="P19" s="26">
        <f>SUM(P18:P18)</f>
        <v>0</v>
      </c>
      <c r="Q19" s="26">
        <f>SUM(Q18:Q18)</f>
        <v>-46000</v>
      </c>
      <c r="R19" s="26">
        <f>P19+Q19</f>
        <v>-46000</v>
      </c>
      <c r="S19" s="1"/>
      <c r="T19" s="26">
        <f>SUM(T18:T18)</f>
        <v>46000</v>
      </c>
      <c r="U19" s="26">
        <f>SUM(U18:U18)</f>
        <v>0</v>
      </c>
      <c r="V19" s="26">
        <f>T19+U19</f>
        <v>46000</v>
      </c>
      <c r="X19" s="26">
        <f t="shared" si="8"/>
        <v>46000</v>
      </c>
      <c r="Y19" s="26">
        <f t="shared" si="8"/>
        <v>-46000</v>
      </c>
      <c r="Z19" s="26">
        <f t="shared" si="8"/>
        <v>0</v>
      </c>
    </row>
    <row r="20" spans="2:26" x14ac:dyDescent="0.25">
      <c r="D20" s="1"/>
      <c r="E20" s="1"/>
      <c r="F20" s="1"/>
      <c r="H20" s="1"/>
      <c r="I20" s="1"/>
      <c r="J20" s="1"/>
      <c r="L20" s="1"/>
      <c r="M20" s="1"/>
      <c r="N20" s="1"/>
      <c r="P20" s="1"/>
      <c r="Q20" s="1"/>
      <c r="R20" s="1"/>
      <c r="S20" s="1"/>
      <c r="T20" s="1"/>
      <c r="U20" s="1"/>
      <c r="V20" s="1"/>
    </row>
    <row r="21" spans="2:26" x14ac:dyDescent="0.25">
      <c r="B21" s="5" t="s">
        <v>532</v>
      </c>
      <c r="D21" s="1"/>
      <c r="E21" s="1"/>
      <c r="F21" s="1"/>
      <c r="H21" s="1"/>
      <c r="I21" s="1"/>
      <c r="J21" s="1"/>
      <c r="L21" s="1"/>
      <c r="M21" s="1"/>
      <c r="N21" s="1"/>
      <c r="P21" s="1"/>
      <c r="Q21" s="1"/>
      <c r="R21" s="1"/>
      <c r="S21" s="1"/>
      <c r="T21" s="1"/>
      <c r="U21" s="1"/>
      <c r="V21" s="1"/>
    </row>
    <row r="22" spans="2:26" x14ac:dyDescent="0.25">
      <c r="B22" s="2" t="s">
        <v>481</v>
      </c>
      <c r="C22" s="6" t="s">
        <v>90</v>
      </c>
      <c r="E22" s="1"/>
      <c r="F22" s="1"/>
      <c r="H22" s="9">
        <v>18500</v>
      </c>
      <c r="I22" s="8">
        <f>-H22</f>
        <v>-18500</v>
      </c>
      <c r="J22" s="8">
        <f>H22+I22</f>
        <v>0</v>
      </c>
      <c r="L22" s="1"/>
      <c r="N22" s="1"/>
      <c r="P22" s="1"/>
      <c r="Q22" s="1"/>
      <c r="R22" s="1"/>
      <c r="S22" s="1"/>
      <c r="T22" s="1"/>
      <c r="U22" s="1"/>
      <c r="V22" s="1"/>
      <c r="X22" s="8">
        <f t="shared" ref="X22:Z29" si="9">D22+H22+L22+P22+T22</f>
        <v>18500</v>
      </c>
      <c r="Y22" s="8">
        <f t="shared" si="9"/>
        <v>-18500</v>
      </c>
      <c r="Z22" s="8">
        <f t="shared" si="9"/>
        <v>0</v>
      </c>
    </row>
    <row r="23" spans="2:26" x14ac:dyDescent="0.25">
      <c r="B23" s="2" t="s">
        <v>601</v>
      </c>
      <c r="C23" s="6" t="s">
        <v>91</v>
      </c>
      <c r="D23" s="1"/>
      <c r="E23" s="1"/>
      <c r="F23" s="1"/>
      <c r="H23" s="9">
        <v>16400</v>
      </c>
      <c r="I23" s="8">
        <f>-H23</f>
        <v>-16400</v>
      </c>
      <c r="J23" s="8">
        <f>H23+I23</f>
        <v>0</v>
      </c>
      <c r="L23" s="1"/>
      <c r="M23" s="1"/>
      <c r="N23" s="1"/>
      <c r="P23" s="1"/>
      <c r="Q23" s="1"/>
      <c r="R23" s="1"/>
      <c r="S23" s="1"/>
      <c r="T23" s="1"/>
      <c r="U23" s="1"/>
      <c r="V23" s="1"/>
      <c r="X23" s="8">
        <f t="shared" si="9"/>
        <v>16400</v>
      </c>
      <c r="Y23" s="8">
        <f t="shared" si="9"/>
        <v>-16400</v>
      </c>
      <c r="Z23" s="8">
        <f t="shared" si="9"/>
        <v>0</v>
      </c>
    </row>
    <row r="24" spans="2:26" x14ac:dyDescent="0.25">
      <c r="B24" s="24" t="s">
        <v>533</v>
      </c>
      <c r="C24" s="6" t="s">
        <v>534</v>
      </c>
      <c r="F24" s="1"/>
      <c r="H24" s="9">
        <v>18000</v>
      </c>
      <c r="I24" s="8">
        <f>-H24</f>
        <v>-18000</v>
      </c>
      <c r="J24" s="8">
        <f>H24+I24</f>
        <v>0</v>
      </c>
      <c r="L24" s="1"/>
      <c r="M24" s="1"/>
      <c r="N24" s="1"/>
      <c r="Q24" s="1"/>
      <c r="R24" s="1"/>
      <c r="S24" s="1"/>
      <c r="T24" s="1"/>
      <c r="U24" s="1"/>
      <c r="V24" s="1"/>
      <c r="X24" s="8">
        <f t="shared" si="9"/>
        <v>18000</v>
      </c>
      <c r="Y24" s="8">
        <f t="shared" si="9"/>
        <v>-18000</v>
      </c>
      <c r="Z24" s="8">
        <f t="shared" si="9"/>
        <v>0</v>
      </c>
    </row>
    <row r="25" spans="2:26" x14ac:dyDescent="0.25">
      <c r="B25" s="2" t="s">
        <v>535</v>
      </c>
      <c r="C25" s="6" t="s">
        <v>536</v>
      </c>
      <c r="F25" s="1"/>
      <c r="L25" s="9">
        <v>25000</v>
      </c>
      <c r="M25" s="8">
        <f>-L25</f>
        <v>-25000</v>
      </c>
      <c r="N25" s="8">
        <f>L25+M25</f>
        <v>0</v>
      </c>
      <c r="P25" s="1"/>
      <c r="Q25" s="1"/>
      <c r="R25" s="1"/>
      <c r="S25" s="1"/>
      <c r="T25" s="1"/>
      <c r="U25" s="1"/>
      <c r="V25" s="1"/>
      <c r="X25" s="8">
        <f t="shared" si="9"/>
        <v>25000</v>
      </c>
      <c r="Y25" s="8">
        <f t="shared" si="9"/>
        <v>-25000</v>
      </c>
      <c r="Z25" s="8">
        <f t="shared" si="9"/>
        <v>0</v>
      </c>
    </row>
    <row r="26" spans="2:26" x14ac:dyDescent="0.25">
      <c r="B26" s="2" t="s">
        <v>525</v>
      </c>
      <c r="C26" s="6" t="s">
        <v>92</v>
      </c>
      <c r="E26" s="1"/>
      <c r="F26" s="1"/>
      <c r="L26" s="9">
        <v>1500</v>
      </c>
      <c r="M26" s="8">
        <f>-L26</f>
        <v>-1500</v>
      </c>
      <c r="N26" s="8">
        <f>L26+M26</f>
        <v>0</v>
      </c>
      <c r="S26" s="1"/>
      <c r="T26" s="1"/>
      <c r="U26" s="1"/>
      <c r="V26" s="1"/>
      <c r="X26" s="8">
        <f t="shared" si="9"/>
        <v>1500</v>
      </c>
      <c r="Y26" s="8">
        <f t="shared" si="9"/>
        <v>-1500</v>
      </c>
      <c r="Z26" s="8">
        <f t="shared" si="9"/>
        <v>0</v>
      </c>
    </row>
    <row r="27" spans="2:26" x14ac:dyDescent="0.25">
      <c r="B27" s="2" t="s">
        <v>537</v>
      </c>
      <c r="C27" s="6" t="s">
        <v>538</v>
      </c>
      <c r="E27" s="1"/>
      <c r="F27" s="1"/>
      <c r="H27" s="9">
        <v>3500</v>
      </c>
      <c r="I27" s="8">
        <f>-H27</f>
        <v>-3500</v>
      </c>
      <c r="J27" s="8">
        <f>H27+I27</f>
        <v>0</v>
      </c>
      <c r="S27" s="1"/>
      <c r="T27" s="1"/>
      <c r="U27" s="1"/>
      <c r="V27" s="1"/>
      <c r="X27" s="8">
        <f t="shared" si="9"/>
        <v>3500</v>
      </c>
      <c r="Y27" s="8">
        <f t="shared" si="9"/>
        <v>-3500</v>
      </c>
      <c r="Z27" s="8">
        <f t="shared" si="9"/>
        <v>0</v>
      </c>
    </row>
    <row r="28" spans="2:26" ht="15.75" thickBot="1" x14ac:dyDescent="0.3">
      <c r="B28" s="2" t="s">
        <v>539</v>
      </c>
      <c r="C28" s="6" t="s">
        <v>18</v>
      </c>
      <c r="E28" s="1"/>
      <c r="F28" s="1"/>
      <c r="P28" s="9">
        <v>50000</v>
      </c>
      <c r="Q28" s="8">
        <f>-P28</f>
        <v>-50000</v>
      </c>
      <c r="R28" s="8">
        <f>P28+Q28</f>
        <v>0</v>
      </c>
      <c r="S28" s="1"/>
      <c r="T28" s="1"/>
      <c r="U28" s="1"/>
      <c r="V28" s="1"/>
      <c r="X28" s="8">
        <f t="shared" si="9"/>
        <v>50000</v>
      </c>
      <c r="Y28" s="8">
        <f t="shared" si="9"/>
        <v>-50000</v>
      </c>
      <c r="Z28" s="8">
        <f t="shared" si="9"/>
        <v>0</v>
      </c>
    </row>
    <row r="29" spans="2:26" x14ac:dyDescent="0.25">
      <c r="B29" s="2" t="s">
        <v>540</v>
      </c>
      <c r="D29" s="26">
        <f>SUM(D22:D28)</f>
        <v>0</v>
      </c>
      <c r="E29" s="26">
        <f>SUM(E22:E28)</f>
        <v>0</v>
      </c>
      <c r="F29" s="26">
        <f>D29+E29</f>
        <v>0</v>
      </c>
      <c r="H29" s="26">
        <f>SUM(H22:H28)</f>
        <v>56400</v>
      </c>
      <c r="I29" s="26">
        <f>SUM(I22:I28)</f>
        <v>-56400</v>
      </c>
      <c r="J29" s="26">
        <f>H29+I29</f>
        <v>0</v>
      </c>
      <c r="L29" s="26">
        <f>SUM(L22:L28)</f>
        <v>26500</v>
      </c>
      <c r="M29" s="26">
        <f>SUM(M22:M28)</f>
        <v>-26500</v>
      </c>
      <c r="N29" s="26">
        <f>L29+M29</f>
        <v>0</v>
      </c>
      <c r="P29" s="26">
        <f>SUM(P22:P28)</f>
        <v>50000</v>
      </c>
      <c r="Q29" s="26">
        <f>SUM(Q22:Q28)</f>
        <v>-50000</v>
      </c>
      <c r="R29" s="26">
        <f>P29+Q29</f>
        <v>0</v>
      </c>
      <c r="S29" s="1"/>
      <c r="T29" s="26">
        <f>SUM(T22:T28)</f>
        <v>0</v>
      </c>
      <c r="U29" s="26">
        <f>SUM(U22:U28)</f>
        <v>0</v>
      </c>
      <c r="V29" s="26">
        <f>T29+U29</f>
        <v>0</v>
      </c>
      <c r="X29" s="26">
        <f t="shared" si="9"/>
        <v>132900</v>
      </c>
      <c r="Y29" s="26">
        <f t="shared" si="9"/>
        <v>-132900</v>
      </c>
      <c r="Z29" s="26">
        <f t="shared" si="9"/>
        <v>0</v>
      </c>
    </row>
    <row r="30" spans="2:26" x14ac:dyDescent="0.25">
      <c r="D30" s="1"/>
      <c r="E30" s="1"/>
      <c r="F30" s="1"/>
      <c r="H30" s="1"/>
      <c r="I30" s="1"/>
      <c r="J30" s="1"/>
      <c r="L30" s="1"/>
      <c r="M30" s="1"/>
      <c r="N30" s="1"/>
      <c r="P30" s="1"/>
      <c r="Q30" s="1"/>
      <c r="R30" s="1"/>
      <c r="S30" s="1"/>
      <c r="T30" s="1"/>
      <c r="U30" s="1"/>
      <c r="V30" s="1"/>
    </row>
    <row r="31" spans="2:26" x14ac:dyDescent="0.25">
      <c r="B31" s="5" t="s">
        <v>8</v>
      </c>
      <c r="D31" s="1"/>
      <c r="E31" s="1"/>
      <c r="F31" s="1"/>
      <c r="H31" s="1"/>
      <c r="I31" s="1"/>
      <c r="J31" s="1"/>
      <c r="L31" s="1"/>
      <c r="M31" s="1"/>
      <c r="N31" s="1"/>
      <c r="P31" s="1"/>
      <c r="Q31" s="1"/>
      <c r="R31" s="1"/>
      <c r="S31" s="1"/>
      <c r="T31" s="1"/>
      <c r="U31" s="1"/>
      <c r="V31" s="1"/>
    </row>
    <row r="32" spans="2:26" x14ac:dyDescent="0.25">
      <c r="B32" s="2" t="s">
        <v>7</v>
      </c>
      <c r="D32" s="1"/>
      <c r="E32" s="1"/>
      <c r="F32" s="1"/>
      <c r="H32" s="1"/>
      <c r="I32" s="1"/>
      <c r="J32" s="1"/>
      <c r="L32" s="1"/>
      <c r="M32" s="1"/>
      <c r="N32" s="1"/>
      <c r="P32" s="1"/>
      <c r="Q32" s="1"/>
      <c r="R32" s="1"/>
      <c r="S32" s="1"/>
      <c r="T32" s="9">
        <v>0</v>
      </c>
      <c r="U32" s="9">
        <v>0</v>
      </c>
      <c r="V32" s="8">
        <f>T32+U32</f>
        <v>0</v>
      </c>
      <c r="X32" s="8">
        <f t="shared" ref="X32:Z44" si="10">D32+H32+L32+P32+T32</f>
        <v>0</v>
      </c>
      <c r="Y32" s="8">
        <f t="shared" si="10"/>
        <v>0</v>
      </c>
      <c r="Z32" s="8">
        <f t="shared" si="10"/>
        <v>0</v>
      </c>
    </row>
    <row r="33" spans="2:26" x14ac:dyDescent="0.25">
      <c r="B33" s="2" t="s">
        <v>77</v>
      </c>
      <c r="D33" s="1"/>
      <c r="E33" s="1"/>
      <c r="F33" s="1"/>
      <c r="H33" s="1"/>
      <c r="I33" s="1"/>
      <c r="J33" s="1"/>
      <c r="L33" s="1"/>
      <c r="M33" s="1"/>
      <c r="N33" s="1"/>
      <c r="P33" s="1"/>
      <c r="Q33" s="1"/>
      <c r="R33" s="1"/>
      <c r="S33" s="1"/>
      <c r="T33" s="9">
        <f>-418.5-8788.5-2209.5-1500-81.9-62-22.5-67.5-157.84</f>
        <v>-13308.24</v>
      </c>
      <c r="U33" s="9">
        <v>0</v>
      </c>
      <c r="V33" s="8">
        <f>T33+U33</f>
        <v>-13308.24</v>
      </c>
      <c r="X33" s="8">
        <f t="shared" si="10"/>
        <v>-13308.24</v>
      </c>
      <c r="Y33" s="8">
        <f t="shared" si="10"/>
        <v>0</v>
      </c>
      <c r="Z33" s="8">
        <f t="shared" si="10"/>
        <v>-13308.24</v>
      </c>
    </row>
    <row r="34" spans="2:26" x14ac:dyDescent="0.25">
      <c r="B34" s="2" t="s">
        <v>604</v>
      </c>
      <c r="C34" s="6" t="s">
        <v>566</v>
      </c>
      <c r="D34" s="1"/>
      <c r="E34" s="1"/>
      <c r="F34" s="1"/>
      <c r="H34" s="9">
        <f>-8000-5000</f>
        <v>-13000</v>
      </c>
      <c r="I34" s="9">
        <v>0</v>
      </c>
      <c r="J34" s="8">
        <f>H34+I34</f>
        <v>-13000</v>
      </c>
      <c r="L34" s="1"/>
      <c r="M34" s="1"/>
      <c r="N34" s="1"/>
      <c r="P34" s="9">
        <v>-500</v>
      </c>
      <c r="Q34" s="9">
        <v>0</v>
      </c>
      <c r="R34" s="8">
        <f>P34+Q34</f>
        <v>-500</v>
      </c>
      <c r="S34" s="1"/>
      <c r="X34" s="8">
        <f t="shared" si="10"/>
        <v>-13500</v>
      </c>
      <c r="Y34" s="8">
        <f t="shared" si="10"/>
        <v>0</v>
      </c>
      <c r="Z34" s="8">
        <f t="shared" si="10"/>
        <v>-13500</v>
      </c>
    </row>
    <row r="35" spans="2:26" x14ac:dyDescent="0.25">
      <c r="B35" s="2" t="s">
        <v>567</v>
      </c>
      <c r="C35" s="6" t="s">
        <v>16</v>
      </c>
      <c r="E35" s="1"/>
      <c r="F35" s="1"/>
      <c r="H35" s="9">
        <v>-10000</v>
      </c>
      <c r="I35" s="9">
        <v>0</v>
      </c>
      <c r="J35" s="8">
        <f>H35+I35</f>
        <v>-10000</v>
      </c>
      <c r="P35" s="9">
        <f>-3594.75-7320.25</f>
        <v>-10915</v>
      </c>
      <c r="Q35" s="9">
        <v>0</v>
      </c>
      <c r="R35" s="8">
        <f>P35+Q35</f>
        <v>-10915</v>
      </c>
      <c r="S35" s="1"/>
      <c r="X35" s="8">
        <f t="shared" si="10"/>
        <v>-20915</v>
      </c>
      <c r="Y35" s="8">
        <f t="shared" si="10"/>
        <v>0</v>
      </c>
      <c r="Z35" s="8">
        <f t="shared" si="10"/>
        <v>-20915</v>
      </c>
    </row>
    <row r="36" spans="2:26" x14ac:dyDescent="0.25">
      <c r="B36" s="2" t="s">
        <v>541</v>
      </c>
      <c r="C36" s="6" t="s">
        <v>17</v>
      </c>
      <c r="H36" s="1"/>
      <c r="I36" s="1"/>
      <c r="J36" s="1"/>
      <c r="L36" s="9">
        <v>0</v>
      </c>
      <c r="M36" s="9">
        <v>0</v>
      </c>
      <c r="N36" s="8">
        <f>L36+M36</f>
        <v>0</v>
      </c>
      <c r="P36" s="9">
        <v>0</v>
      </c>
      <c r="Q36" s="9">
        <v>0</v>
      </c>
      <c r="R36" s="8">
        <f>P36+Q36</f>
        <v>0</v>
      </c>
      <c r="X36" s="8">
        <f t="shared" si="10"/>
        <v>0</v>
      </c>
      <c r="Y36" s="8">
        <f t="shared" si="10"/>
        <v>0</v>
      </c>
      <c r="Z36" s="8">
        <f t="shared" si="10"/>
        <v>0</v>
      </c>
    </row>
    <row r="37" spans="2:26" x14ac:dyDescent="0.25">
      <c r="B37" s="2" t="s">
        <v>481</v>
      </c>
      <c r="C37" s="6" t="s">
        <v>90</v>
      </c>
      <c r="H37" s="9">
        <v>0</v>
      </c>
      <c r="I37" s="9">
        <v>0</v>
      </c>
      <c r="J37" s="8">
        <f>H37+I37</f>
        <v>0</v>
      </c>
      <c r="P37" s="1"/>
      <c r="Q37" s="1"/>
      <c r="R37" s="1"/>
      <c r="S37" s="1"/>
      <c r="X37" s="15">
        <f t="shared" si="10"/>
        <v>0</v>
      </c>
      <c r="Y37" s="15">
        <f t="shared" si="10"/>
        <v>0</v>
      </c>
      <c r="Z37" s="15">
        <f t="shared" si="10"/>
        <v>0</v>
      </c>
    </row>
    <row r="38" spans="2:26" x14ac:dyDescent="0.25">
      <c r="B38" s="2" t="s">
        <v>601</v>
      </c>
      <c r="C38" s="6" t="s">
        <v>91</v>
      </c>
      <c r="H38" s="9">
        <v>-16400</v>
      </c>
      <c r="I38" s="9">
        <v>0</v>
      </c>
      <c r="J38" s="8">
        <f>H38+I38</f>
        <v>-16400</v>
      </c>
      <c r="P38" s="1"/>
      <c r="Q38" s="1"/>
      <c r="R38" s="1"/>
      <c r="S38" s="1"/>
      <c r="X38" s="15">
        <f t="shared" si="10"/>
        <v>-16400</v>
      </c>
      <c r="Y38" s="15">
        <f t="shared" si="10"/>
        <v>0</v>
      </c>
      <c r="Z38" s="15">
        <f t="shared" si="10"/>
        <v>-16400</v>
      </c>
    </row>
    <row r="39" spans="2:26" x14ac:dyDescent="0.25">
      <c r="B39" s="24" t="s">
        <v>533</v>
      </c>
      <c r="C39" s="6" t="s">
        <v>534</v>
      </c>
      <c r="H39" s="9">
        <f>-3000-4000</f>
        <v>-7000</v>
      </c>
      <c r="I39" s="9">
        <v>0</v>
      </c>
      <c r="J39" s="8">
        <f>H39+I39</f>
        <v>-7000</v>
      </c>
      <c r="S39" s="1"/>
      <c r="X39" s="15">
        <f t="shared" si="10"/>
        <v>-7000</v>
      </c>
      <c r="Y39" s="15">
        <f t="shared" si="10"/>
        <v>0</v>
      </c>
      <c r="Z39" s="15">
        <f t="shared" si="10"/>
        <v>-7000</v>
      </c>
    </row>
    <row r="40" spans="2:26" x14ac:dyDescent="0.25">
      <c r="B40" s="2" t="s">
        <v>535</v>
      </c>
      <c r="C40" s="6" t="s">
        <v>536</v>
      </c>
      <c r="L40" s="9">
        <v>0</v>
      </c>
      <c r="M40" s="9">
        <v>0</v>
      </c>
      <c r="N40" s="8">
        <f>L40+M40</f>
        <v>0</v>
      </c>
      <c r="P40" s="1"/>
      <c r="Q40" s="1"/>
      <c r="R40" s="1"/>
      <c r="S40" s="1"/>
      <c r="X40" s="15">
        <f t="shared" si="10"/>
        <v>0</v>
      </c>
      <c r="Y40" s="15">
        <f t="shared" si="10"/>
        <v>0</v>
      </c>
      <c r="Z40" s="15">
        <f t="shared" si="10"/>
        <v>0</v>
      </c>
    </row>
    <row r="41" spans="2:26" x14ac:dyDescent="0.25">
      <c r="B41" s="2" t="s">
        <v>525</v>
      </c>
      <c r="C41" s="6" t="s">
        <v>92</v>
      </c>
      <c r="E41" s="1"/>
      <c r="F41" s="1"/>
      <c r="L41" s="9">
        <v>0</v>
      </c>
      <c r="M41" s="9">
        <v>0</v>
      </c>
      <c r="N41" s="8">
        <f>L41+M41</f>
        <v>0</v>
      </c>
      <c r="P41" s="1"/>
      <c r="Q41" s="1"/>
      <c r="R41" s="1"/>
      <c r="S41" s="1"/>
      <c r="T41" s="1"/>
      <c r="U41" s="1"/>
      <c r="V41" s="1"/>
      <c r="X41" s="8">
        <f t="shared" si="10"/>
        <v>0</v>
      </c>
      <c r="Y41" s="8">
        <f t="shared" si="10"/>
        <v>0</v>
      </c>
      <c r="Z41" s="8">
        <f t="shared" si="10"/>
        <v>0</v>
      </c>
    </row>
    <row r="42" spans="2:26" x14ac:dyDescent="0.25">
      <c r="B42" s="2" t="s">
        <v>537</v>
      </c>
      <c r="C42" s="6" t="s">
        <v>538</v>
      </c>
      <c r="E42" s="1"/>
      <c r="F42" s="1"/>
      <c r="H42" s="9">
        <v>0</v>
      </c>
      <c r="I42" s="9">
        <v>0</v>
      </c>
      <c r="J42" s="8">
        <f>H42+I42</f>
        <v>0</v>
      </c>
      <c r="P42" s="1"/>
      <c r="Q42" s="1"/>
      <c r="R42" s="1"/>
      <c r="S42" s="1"/>
      <c r="T42" s="1"/>
      <c r="U42" s="1"/>
      <c r="V42" s="1"/>
      <c r="X42" s="8">
        <f t="shared" si="10"/>
        <v>0</v>
      </c>
      <c r="Y42" s="8">
        <f t="shared" si="10"/>
        <v>0</v>
      </c>
      <c r="Z42" s="8">
        <f t="shared" si="10"/>
        <v>0</v>
      </c>
    </row>
    <row r="43" spans="2:26" ht="15.75" thickBot="1" x14ac:dyDescent="0.3">
      <c r="B43" s="2" t="s">
        <v>539</v>
      </c>
      <c r="C43" s="6" t="s">
        <v>18</v>
      </c>
      <c r="D43" s="1"/>
      <c r="E43" s="1"/>
      <c r="F43" s="1"/>
      <c r="H43" s="1"/>
      <c r="I43" s="1"/>
      <c r="J43" s="1"/>
      <c r="L43" s="1"/>
      <c r="M43" s="1"/>
      <c r="N43" s="1"/>
      <c r="P43" s="9">
        <v>0</v>
      </c>
      <c r="Q43" s="9">
        <v>0</v>
      </c>
      <c r="R43" s="8">
        <f>P43+Q43</f>
        <v>0</v>
      </c>
      <c r="S43" s="1"/>
      <c r="T43" s="1"/>
      <c r="U43" s="1"/>
      <c r="V43" s="1"/>
      <c r="X43" s="8">
        <f t="shared" si="10"/>
        <v>0</v>
      </c>
      <c r="Y43" s="8">
        <f t="shared" si="10"/>
        <v>0</v>
      </c>
      <c r="Z43" s="8">
        <f t="shared" si="10"/>
        <v>0</v>
      </c>
    </row>
    <row r="44" spans="2:26" x14ac:dyDescent="0.25">
      <c r="B44" s="2" t="s">
        <v>31</v>
      </c>
      <c r="D44" s="26">
        <f>SUM(D32:D43)</f>
        <v>0</v>
      </c>
      <c r="E44" s="26">
        <f>SUM(E32:E43)</f>
        <v>0</v>
      </c>
      <c r="F44" s="26">
        <f>D44+E44</f>
        <v>0</v>
      </c>
      <c r="H44" s="26">
        <f>SUM(H32:H43)</f>
        <v>-46400</v>
      </c>
      <c r="I44" s="26">
        <f>SUM(I32:I43)</f>
        <v>0</v>
      </c>
      <c r="J44" s="26">
        <f>H44+I44</f>
        <v>-46400</v>
      </c>
      <c r="L44" s="26">
        <f>SUM(L32:L43)</f>
        <v>0</v>
      </c>
      <c r="M44" s="26">
        <f>SUM(M32:M43)</f>
        <v>0</v>
      </c>
      <c r="N44" s="26">
        <f>L44+M44</f>
        <v>0</v>
      </c>
      <c r="P44" s="26">
        <f>SUM(P32:P43)</f>
        <v>-11415</v>
      </c>
      <c r="Q44" s="26">
        <f>SUM(Q32:Q43)</f>
        <v>0</v>
      </c>
      <c r="R44" s="26">
        <f>P44+Q44</f>
        <v>-11415</v>
      </c>
      <c r="S44" s="1"/>
      <c r="T44" s="26">
        <f>SUM(T32:T43)</f>
        <v>-13308.24</v>
      </c>
      <c r="U44" s="26">
        <f>SUM(U32:U43)</f>
        <v>0</v>
      </c>
      <c r="V44" s="26">
        <f>T44+U44</f>
        <v>-13308.24</v>
      </c>
      <c r="X44" s="26">
        <f t="shared" si="10"/>
        <v>-71123.240000000005</v>
      </c>
      <c r="Y44" s="26">
        <f t="shared" si="10"/>
        <v>0</v>
      </c>
      <c r="Z44" s="26">
        <f t="shared" si="10"/>
        <v>-71123.240000000005</v>
      </c>
    </row>
    <row r="45" spans="2:26" x14ac:dyDescent="0.25">
      <c r="N45" s="1"/>
      <c r="R45" s="1"/>
      <c r="S45" s="1"/>
      <c r="V45" s="1"/>
    </row>
    <row r="46" spans="2:26" x14ac:dyDescent="0.25">
      <c r="B46" s="5" t="s">
        <v>10</v>
      </c>
      <c r="L46" s="1"/>
      <c r="M46" s="1"/>
      <c r="N46" s="1"/>
      <c r="P46" s="1"/>
      <c r="Q46" s="1"/>
      <c r="R46" s="1"/>
      <c r="S46" s="1"/>
      <c r="T46" s="1"/>
      <c r="U46" s="1"/>
      <c r="V46" s="1"/>
    </row>
    <row r="47" spans="2:26" x14ac:dyDescent="0.25">
      <c r="B47" s="2" t="s">
        <v>79</v>
      </c>
      <c r="L47" s="1"/>
      <c r="M47" s="1"/>
      <c r="N47" s="1"/>
      <c r="P47" s="9">
        <v>0</v>
      </c>
      <c r="Q47" s="8">
        <f>-T47</f>
        <v>32691.760000000002</v>
      </c>
      <c r="R47" s="8">
        <f>P47+Q47</f>
        <v>32691.760000000002</v>
      </c>
      <c r="S47" s="1"/>
      <c r="T47" s="9">
        <f>13308.24-46000</f>
        <v>-32691.760000000002</v>
      </c>
      <c r="U47" s="9">
        <v>0</v>
      </c>
      <c r="V47" s="8">
        <f>T47+U47</f>
        <v>-32691.760000000002</v>
      </c>
      <c r="X47" s="8">
        <f t="shared" ref="X47:Z50" si="11">D47+H47+L47+P47+T47</f>
        <v>-32691.760000000002</v>
      </c>
      <c r="Y47" s="8">
        <f t="shared" si="11"/>
        <v>32691.760000000002</v>
      </c>
      <c r="Z47" s="8">
        <f t="shared" si="11"/>
        <v>0</v>
      </c>
    </row>
    <row r="48" spans="2:26" x14ac:dyDescent="0.25">
      <c r="B48" s="2" t="s">
        <v>604</v>
      </c>
      <c r="C48" s="6" t="s">
        <v>566</v>
      </c>
      <c r="H48" s="9">
        <f>-500*0</f>
        <v>0</v>
      </c>
      <c r="I48" s="8">
        <f>-H48*0</f>
        <v>0</v>
      </c>
      <c r="J48" s="8">
        <f>H48+I48</f>
        <v>0</v>
      </c>
      <c r="L48" s="1"/>
      <c r="M48" s="1"/>
      <c r="N48" s="1"/>
      <c r="X48" s="8">
        <f t="shared" ref="X48:X49" si="12">D48+H48+L48+P48+T48</f>
        <v>0</v>
      </c>
      <c r="Y48" s="8">
        <f t="shared" ref="Y48:Y49" si="13">E48+I48+M48+Q48+U48</f>
        <v>0</v>
      </c>
      <c r="Z48" s="8">
        <f t="shared" ref="Z48:Z49" si="14">F48+J48+N48+R48+V48</f>
        <v>0</v>
      </c>
    </row>
    <row r="49" spans="1:26" ht="15.75" thickBot="1" x14ac:dyDescent="0.3">
      <c r="B49" s="2" t="s">
        <v>481</v>
      </c>
      <c r="C49" s="6" t="s">
        <v>90</v>
      </c>
      <c r="H49" s="9">
        <f>(18422.75-18500)*0</f>
        <v>0</v>
      </c>
      <c r="I49" s="8">
        <f>-H49</f>
        <v>0</v>
      </c>
      <c r="J49" s="8">
        <f>H49+I49</f>
        <v>0</v>
      </c>
      <c r="L49" s="1"/>
      <c r="M49" s="1"/>
      <c r="N49" s="1"/>
      <c r="X49" s="8">
        <f t="shared" si="12"/>
        <v>0</v>
      </c>
      <c r="Y49" s="8">
        <f t="shared" si="13"/>
        <v>0</v>
      </c>
      <c r="Z49" s="8">
        <f t="shared" si="14"/>
        <v>0</v>
      </c>
    </row>
    <row r="50" spans="1:26" x14ac:dyDescent="0.25">
      <c r="B50" s="2" t="s">
        <v>32</v>
      </c>
      <c r="D50" s="26">
        <f>SUM(D47:D49)</f>
        <v>0</v>
      </c>
      <c r="E50" s="26">
        <f>SUM(E47:E49)</f>
        <v>0</v>
      </c>
      <c r="F50" s="26">
        <f>D50+E50</f>
        <v>0</v>
      </c>
      <c r="H50" s="26">
        <f>SUM(H47:H49)</f>
        <v>0</v>
      </c>
      <c r="I50" s="26">
        <f>SUM(I47:I49)</f>
        <v>0</v>
      </c>
      <c r="J50" s="26">
        <f>SUM(J46:J47)</f>
        <v>0</v>
      </c>
      <c r="L50" s="26">
        <f>SUM(L47:L49)</f>
        <v>0</v>
      </c>
      <c r="M50" s="26">
        <f>SUM(M47:M49)</f>
        <v>0</v>
      </c>
      <c r="N50" s="26">
        <f>L50+M50</f>
        <v>0</v>
      </c>
      <c r="P50" s="26">
        <f>SUM(P47:P49)</f>
        <v>0</v>
      </c>
      <c r="Q50" s="26">
        <f>SUM(Q47:Q49)</f>
        <v>32691.760000000002</v>
      </c>
      <c r="R50" s="26">
        <f>P50+Q50</f>
        <v>32691.760000000002</v>
      </c>
      <c r="S50" s="1"/>
      <c r="T50" s="26">
        <f>SUM(T47:T49)</f>
        <v>-32691.760000000002</v>
      </c>
      <c r="U50" s="26">
        <f>SUM(U47:U49)</f>
        <v>0</v>
      </c>
      <c r="V50" s="26">
        <f>T50+U50</f>
        <v>-32691.760000000002</v>
      </c>
      <c r="X50" s="26">
        <f t="shared" si="11"/>
        <v>-32691.760000000002</v>
      </c>
      <c r="Y50" s="26">
        <f t="shared" si="11"/>
        <v>32691.760000000002</v>
      </c>
      <c r="Z50" s="26">
        <f t="shared" si="11"/>
        <v>0</v>
      </c>
    </row>
    <row r="51" spans="1:26" x14ac:dyDescent="0.25">
      <c r="B51" s="2"/>
      <c r="D51" s="1"/>
      <c r="E51" s="1"/>
      <c r="F51" s="1"/>
      <c r="H51" s="1"/>
      <c r="L51" s="1"/>
      <c r="M51" s="1"/>
      <c r="N51" s="1"/>
    </row>
    <row r="52" spans="1:26" x14ac:dyDescent="0.25">
      <c r="B52" s="2" t="s">
        <v>542</v>
      </c>
      <c r="D52" s="8">
        <f>D7+D15+D19+D29+D44+D50</f>
        <v>0</v>
      </c>
      <c r="E52" s="8">
        <f>E7+E15+E19+E29+E44+E50</f>
        <v>145773.69</v>
      </c>
      <c r="F52" s="8">
        <f>D52+E52</f>
        <v>145773.69</v>
      </c>
      <c r="H52" s="8">
        <f>H7+H15+H19+H29+H44+H50</f>
        <v>33000</v>
      </c>
      <c r="I52" s="8">
        <f>I7+I15+I19+I29+I44+I50</f>
        <v>57373.69</v>
      </c>
      <c r="J52" s="8">
        <f>H52+I52</f>
        <v>90373.69</v>
      </c>
      <c r="L52" s="8">
        <f>L7+L15+L19+L29+L44+L50</f>
        <v>26500</v>
      </c>
      <c r="M52" s="8">
        <f>M7+M15+M19+M29+M44+M50</f>
        <v>79273.69</v>
      </c>
      <c r="N52" s="8">
        <f>L52+M52</f>
        <v>105773.69</v>
      </c>
      <c r="P52" s="8">
        <f>P7+P15+P19+P29+P44+P50</f>
        <v>69248.34</v>
      </c>
      <c r="Q52" s="8">
        <f>Q7+Q15+Q19+Q29+Q44+Q50</f>
        <v>737852.08999999985</v>
      </c>
      <c r="R52" s="8">
        <f>P52+Q52</f>
        <v>807100.42999999982</v>
      </c>
      <c r="T52" s="8">
        <f>T7+T15+T19+T29+T44+T50</f>
        <v>0</v>
      </c>
      <c r="U52" s="8">
        <f>U7+U15+U19+U29+U44+U50</f>
        <v>0</v>
      </c>
      <c r="V52" s="8">
        <f>T52+U52</f>
        <v>0</v>
      </c>
      <c r="X52" s="8">
        <f>D52+H52+L52+P52+T52</f>
        <v>128748.34</v>
      </c>
      <c r="Y52" s="8">
        <f>E52+I52+M52+Q52+U52</f>
        <v>1020273.1599999999</v>
      </c>
      <c r="Z52" s="8">
        <f>F52+J52+N52+R52+V52</f>
        <v>1149021.4999999998</v>
      </c>
    </row>
    <row r="53" spans="1:26" x14ac:dyDescent="0.25">
      <c r="B53" s="2"/>
      <c r="D53" s="1"/>
      <c r="E53" s="1"/>
      <c r="F53" s="1"/>
      <c r="M53" s="1"/>
      <c r="N53" s="1"/>
    </row>
    <row r="54" spans="1:26" x14ac:dyDescent="0.25">
      <c r="B54" s="5" t="s">
        <v>543</v>
      </c>
    </row>
    <row r="55" spans="1:26" ht="15.75" thickBot="1" x14ac:dyDescent="0.3">
      <c r="B55" s="2" t="s">
        <v>504</v>
      </c>
      <c r="C55" s="6" t="s">
        <v>17</v>
      </c>
      <c r="L55" s="14">
        <v>73000</v>
      </c>
      <c r="M55" s="15">
        <f>-L55</f>
        <v>-73000</v>
      </c>
      <c r="N55" s="15">
        <f>L55+M55</f>
        <v>0</v>
      </c>
      <c r="P55" s="14">
        <v>240297</v>
      </c>
      <c r="Q55" s="15">
        <f>-P55</f>
        <v>-240297</v>
      </c>
      <c r="R55" s="15">
        <f>P55+Q55</f>
        <v>0</v>
      </c>
      <c r="S55" s="1"/>
      <c r="X55" s="15">
        <f t="shared" ref="X55:Z56" si="15">D55+H55+L55+P55+T55</f>
        <v>313297</v>
      </c>
      <c r="Y55" s="15">
        <f t="shared" si="15"/>
        <v>-313297</v>
      </c>
      <c r="Z55" s="15">
        <f t="shared" si="15"/>
        <v>0</v>
      </c>
    </row>
    <row r="56" spans="1:26" x14ac:dyDescent="0.25">
      <c r="B56" s="2" t="s">
        <v>544</v>
      </c>
      <c r="D56" s="26">
        <f>SUM(D55:D55)</f>
        <v>0</v>
      </c>
      <c r="E56" s="26">
        <f>SUM(E55:E55)</f>
        <v>0</v>
      </c>
      <c r="F56" s="26">
        <f>D56+E56</f>
        <v>0</v>
      </c>
      <c r="H56" s="26">
        <f>SUM(H55:H55)</f>
        <v>0</v>
      </c>
      <c r="I56" s="26">
        <f>SUM(I55:I55)</f>
        <v>0</v>
      </c>
      <c r="J56" s="26">
        <f>H56+I56</f>
        <v>0</v>
      </c>
      <c r="L56" s="26">
        <f>SUM(L55:L55)</f>
        <v>73000</v>
      </c>
      <c r="M56" s="26">
        <f>SUM(M55:M55)</f>
        <v>-73000</v>
      </c>
      <c r="N56" s="26">
        <f>L56+M56</f>
        <v>0</v>
      </c>
      <c r="P56" s="26">
        <f>SUM(P55:P55)</f>
        <v>240297</v>
      </c>
      <c r="Q56" s="26">
        <f>SUM(Q55:Q55)</f>
        <v>-240297</v>
      </c>
      <c r="R56" s="26">
        <f>P56+Q56</f>
        <v>0</v>
      </c>
      <c r="S56" s="1"/>
      <c r="T56" s="26">
        <f>SUM(T55:T55)</f>
        <v>0</v>
      </c>
      <c r="U56" s="26">
        <f>SUM(U55:U55)</f>
        <v>0</v>
      </c>
      <c r="V56" s="26">
        <f>T56+U56</f>
        <v>0</v>
      </c>
      <c r="X56" s="26">
        <f t="shared" si="15"/>
        <v>313297</v>
      </c>
      <c r="Y56" s="26">
        <f t="shared" si="15"/>
        <v>-313297</v>
      </c>
      <c r="Z56" s="26">
        <f t="shared" si="15"/>
        <v>0</v>
      </c>
    </row>
    <row r="57" spans="1:26" x14ac:dyDescent="0.25">
      <c r="L57" s="1"/>
      <c r="M57" s="1"/>
      <c r="N57" s="1"/>
      <c r="P57" s="1"/>
      <c r="Q57" s="1"/>
      <c r="R57" s="1"/>
      <c r="S57" s="1"/>
      <c r="T57" s="1"/>
      <c r="U57" s="1"/>
      <c r="V57" s="1"/>
      <c r="X57" s="1"/>
      <c r="Y57" s="1"/>
      <c r="Z57" s="1"/>
    </row>
    <row r="58" spans="1:26" ht="15.75" thickBot="1" x14ac:dyDescent="0.3">
      <c r="B58" s="2" t="s">
        <v>545</v>
      </c>
      <c r="D58" s="17">
        <f>ROUND(D52+D56,2)</f>
        <v>0</v>
      </c>
      <c r="E58" s="17">
        <f>ROUND(E52+E56,2)</f>
        <v>145773.69</v>
      </c>
      <c r="F58" s="17">
        <f>D58+E58</f>
        <v>145773.69</v>
      </c>
      <c r="H58" s="17">
        <f>ROUND(H52+H56,2)</f>
        <v>33000</v>
      </c>
      <c r="I58" s="17">
        <f>ROUND(I52+I56,2)</f>
        <v>57373.69</v>
      </c>
      <c r="J58" s="17">
        <f>H58+I58</f>
        <v>90373.69</v>
      </c>
      <c r="L58" s="17">
        <f>ROUND(L52+L56,2)</f>
        <v>99500</v>
      </c>
      <c r="M58" s="17">
        <f>ROUND(M52+M56,2)</f>
        <v>6273.69</v>
      </c>
      <c r="N58" s="17">
        <f>L58+M58</f>
        <v>105773.69</v>
      </c>
      <c r="P58" s="17">
        <f>ROUND(P52+P56,2)</f>
        <v>309545.34000000003</v>
      </c>
      <c r="Q58" s="17">
        <f>ROUND(Q52+Q56,2)</f>
        <v>497555.09</v>
      </c>
      <c r="R58" s="17">
        <f>P58+Q58</f>
        <v>807100.43</v>
      </c>
      <c r="T58" s="17">
        <f>ROUND(T52+T56,2)</f>
        <v>0</v>
      </c>
      <c r="U58" s="17">
        <f>ROUND(U52+U56,2)</f>
        <v>0</v>
      </c>
      <c r="V58" s="17">
        <f>ROUND(V52+V56,2)</f>
        <v>0</v>
      </c>
      <c r="X58" s="17">
        <f>D58+H58+L58+P58+T58</f>
        <v>442045.34</v>
      </c>
      <c r="Y58" s="17">
        <f>E58+I58+M58+Q58+U58</f>
        <v>706976.16</v>
      </c>
      <c r="Z58" s="17">
        <f>F58+J58+N58+R58+V58</f>
        <v>1149021.5</v>
      </c>
    </row>
    <row r="59" spans="1:26" ht="15.75" thickTop="1" x14ac:dyDescent="0.25">
      <c r="D59" s="1"/>
      <c r="E59" s="1"/>
    </row>
    <row r="60" spans="1:26" x14ac:dyDescent="0.25">
      <c r="I60" s="1"/>
    </row>
    <row r="61" spans="1:26" x14ac:dyDescent="0.25">
      <c r="A61" s="35" t="s">
        <v>54</v>
      </c>
      <c r="B61" s="35"/>
      <c r="H61" s="1"/>
      <c r="M61" s="1"/>
    </row>
    <row r="63" spans="1:26" x14ac:dyDescent="0.25">
      <c r="B63" s="5" t="s">
        <v>546</v>
      </c>
    </row>
    <row r="64" spans="1:26" x14ac:dyDescent="0.25">
      <c r="B64" s="2" t="s">
        <v>749</v>
      </c>
      <c r="D64" s="9">
        <v>0</v>
      </c>
      <c r="E64" s="9">
        <f>460000/10</f>
        <v>46000</v>
      </c>
      <c r="F64" s="8">
        <f>D64+E64</f>
        <v>46000</v>
      </c>
      <c r="H64" s="9">
        <v>0</v>
      </c>
      <c r="I64" s="9">
        <f>460000/10</f>
        <v>46000</v>
      </c>
      <c r="J64" s="8">
        <f>H64+I64</f>
        <v>46000</v>
      </c>
      <c r="L64" s="9">
        <v>0</v>
      </c>
      <c r="M64" s="9">
        <f>460000/10</f>
        <v>46000</v>
      </c>
      <c r="N64" s="8">
        <f>L64+M64</f>
        <v>46000</v>
      </c>
      <c r="P64" s="9">
        <v>0</v>
      </c>
      <c r="Q64" s="9">
        <f>460000-E64-I64-M64</f>
        <v>322000</v>
      </c>
      <c r="R64" s="8">
        <f>P64+Q64</f>
        <v>322000</v>
      </c>
      <c r="T64" s="1"/>
      <c r="U64" s="1"/>
      <c r="V64" s="1"/>
      <c r="X64" s="8">
        <f t="shared" ref="X64:Z66" si="16">D64+H64+L64+P64+T64</f>
        <v>0</v>
      </c>
      <c r="Y64" s="8">
        <f t="shared" si="16"/>
        <v>460000</v>
      </c>
      <c r="Z64" s="8">
        <f t="shared" si="16"/>
        <v>460000</v>
      </c>
    </row>
    <row r="65" spans="2:26" ht="15.75" thickBot="1" x14ac:dyDescent="0.3">
      <c r="B65" s="2" t="s">
        <v>547</v>
      </c>
      <c r="D65" s="14">
        <v>0</v>
      </c>
      <c r="E65" s="9">
        <f>460000/10</f>
        <v>46000</v>
      </c>
      <c r="F65" s="15">
        <f>D65+E65</f>
        <v>46000</v>
      </c>
      <c r="H65" s="14">
        <v>0</v>
      </c>
      <c r="I65" s="9">
        <f>460000/10</f>
        <v>46000</v>
      </c>
      <c r="J65" s="15">
        <f>H65+I65</f>
        <v>46000</v>
      </c>
      <c r="L65" s="14">
        <v>0</v>
      </c>
      <c r="M65" s="9">
        <f>460000/10</f>
        <v>46000</v>
      </c>
      <c r="N65" s="15">
        <f>L65+M65</f>
        <v>46000</v>
      </c>
      <c r="P65" s="14">
        <v>0</v>
      </c>
      <c r="Q65" s="9">
        <f>460000-E65-I65-M65</f>
        <v>322000</v>
      </c>
      <c r="R65" s="15">
        <f>P65+Q65</f>
        <v>322000</v>
      </c>
      <c r="X65" s="15">
        <f t="shared" si="16"/>
        <v>0</v>
      </c>
      <c r="Y65" s="15">
        <f t="shared" si="16"/>
        <v>460000</v>
      </c>
      <c r="Z65" s="15">
        <f t="shared" si="16"/>
        <v>460000</v>
      </c>
    </row>
    <row r="66" spans="2:26" x14ac:dyDescent="0.25">
      <c r="B66" s="2" t="s">
        <v>548</v>
      </c>
      <c r="D66" s="26">
        <f>SUM(D64:D65)</f>
        <v>0</v>
      </c>
      <c r="E66" s="26">
        <f>SUM(E64:E65)</f>
        <v>92000</v>
      </c>
      <c r="F66" s="26">
        <f>D66+E66</f>
        <v>92000</v>
      </c>
      <c r="H66" s="26">
        <f>SUM(H64:H65)</f>
        <v>0</v>
      </c>
      <c r="I66" s="26">
        <f>SUM(I64:I65)</f>
        <v>92000</v>
      </c>
      <c r="J66" s="26">
        <f>H66+I66</f>
        <v>92000</v>
      </c>
      <c r="L66" s="26">
        <f>SUM(L64:L65)</f>
        <v>0</v>
      </c>
      <c r="M66" s="26">
        <f>SUM(M64:M65)</f>
        <v>92000</v>
      </c>
      <c r="N66" s="26">
        <f>L66+M66</f>
        <v>92000</v>
      </c>
      <c r="P66" s="26">
        <f>SUM(P64:P65)</f>
        <v>0</v>
      </c>
      <c r="Q66" s="26">
        <f>SUM(Q64:Q65)</f>
        <v>644000</v>
      </c>
      <c r="R66" s="26">
        <f>P66+Q66</f>
        <v>644000</v>
      </c>
      <c r="S66" s="1"/>
      <c r="T66" s="26">
        <f>SUM(T64:T65)</f>
        <v>0</v>
      </c>
      <c r="U66" s="26">
        <f>SUM(U64:U65)</f>
        <v>0</v>
      </c>
      <c r="V66" s="26">
        <f>T66+U66</f>
        <v>0</v>
      </c>
      <c r="X66" s="26">
        <f t="shared" si="16"/>
        <v>0</v>
      </c>
      <c r="Y66" s="26">
        <f t="shared" si="16"/>
        <v>920000</v>
      </c>
      <c r="Z66" s="26">
        <f t="shared" si="16"/>
        <v>920000</v>
      </c>
    </row>
    <row r="67" spans="2:26" x14ac:dyDescent="0.25">
      <c r="B67" s="2"/>
    </row>
    <row r="68" spans="2:26" x14ac:dyDescent="0.25">
      <c r="B68" s="5" t="s">
        <v>521</v>
      </c>
      <c r="Q68" s="1"/>
    </row>
    <row r="69" spans="2:26" x14ac:dyDescent="0.25">
      <c r="B69" s="2" t="s">
        <v>87</v>
      </c>
      <c r="H69" s="1"/>
      <c r="I69" s="1"/>
      <c r="J69" s="1"/>
      <c r="L69" s="1"/>
      <c r="M69" s="1"/>
      <c r="N69" s="1"/>
      <c r="P69" s="9">
        <v>0</v>
      </c>
      <c r="Q69" s="8">
        <f>-T69</f>
        <v>-46000</v>
      </c>
      <c r="R69" s="8">
        <f>P69+Q69</f>
        <v>-46000</v>
      </c>
      <c r="T69" s="9">
        <v>46000</v>
      </c>
      <c r="U69" s="9">
        <v>0</v>
      </c>
      <c r="V69" s="8">
        <f>T69+U69</f>
        <v>46000</v>
      </c>
      <c r="X69" s="8">
        <f t="shared" ref="X69:Z71" si="17">D69+H69+L69+P69+T69</f>
        <v>46000</v>
      </c>
      <c r="Y69" s="8">
        <f t="shared" si="17"/>
        <v>-46000</v>
      </c>
      <c r="Z69" s="8">
        <f t="shared" si="17"/>
        <v>0</v>
      </c>
    </row>
    <row r="70" spans="2:26" ht="15.75" thickBot="1" x14ac:dyDescent="0.3">
      <c r="B70" s="2" t="s">
        <v>504</v>
      </c>
      <c r="C70" s="6" t="s">
        <v>17</v>
      </c>
      <c r="D70" s="3"/>
      <c r="E70" s="3"/>
      <c r="F70" s="3"/>
      <c r="H70" s="3"/>
      <c r="I70" s="3"/>
      <c r="J70" s="3"/>
      <c r="L70" s="14">
        <v>165000</v>
      </c>
      <c r="M70" s="15">
        <f>-L70</f>
        <v>-165000</v>
      </c>
      <c r="N70" s="15">
        <f>L70+M70</f>
        <v>0</v>
      </c>
      <c r="P70" s="14">
        <v>838297</v>
      </c>
      <c r="Q70" s="15">
        <f>-P70</f>
        <v>-838297</v>
      </c>
      <c r="R70" s="15">
        <f>P70+Q70</f>
        <v>0</v>
      </c>
      <c r="S70" s="1"/>
      <c r="T70" s="3"/>
      <c r="U70" s="3"/>
      <c r="V70" s="3"/>
      <c r="X70" s="15">
        <f t="shared" si="17"/>
        <v>1003297</v>
      </c>
      <c r="Y70" s="15">
        <f t="shared" si="17"/>
        <v>-1003297</v>
      </c>
      <c r="Z70" s="15">
        <f t="shared" si="17"/>
        <v>0</v>
      </c>
    </row>
    <row r="71" spans="2:26" x14ac:dyDescent="0.25">
      <c r="B71" s="2" t="s">
        <v>522</v>
      </c>
      <c r="C71" s="2"/>
      <c r="D71" s="26">
        <f>SUM(D69:D70)</f>
        <v>0</v>
      </c>
      <c r="E71" s="26">
        <f>SUM(E69:E70)</f>
        <v>0</v>
      </c>
      <c r="F71" s="26">
        <f>D71+E71</f>
        <v>0</v>
      </c>
      <c r="H71" s="26">
        <f>SUM(H69:H70)</f>
        <v>0</v>
      </c>
      <c r="I71" s="26">
        <f>SUM(I69:I70)</f>
        <v>0</v>
      </c>
      <c r="J71" s="26">
        <f>H71+I71</f>
        <v>0</v>
      </c>
      <c r="L71" s="26">
        <f>SUM(L69:L70)</f>
        <v>165000</v>
      </c>
      <c r="M71" s="26">
        <f>SUM(M69:M70)</f>
        <v>-165000</v>
      </c>
      <c r="N71" s="26">
        <f>L71+M71</f>
        <v>0</v>
      </c>
      <c r="P71" s="26">
        <f>SUM(P69:P70)</f>
        <v>838297</v>
      </c>
      <c r="Q71" s="26">
        <f>SUM(Q69:Q70)</f>
        <v>-884297</v>
      </c>
      <c r="R71" s="26">
        <f>P71+Q71</f>
        <v>-46000</v>
      </c>
      <c r="S71" s="1"/>
      <c r="T71" s="26">
        <f>SUM(T69:T70)</f>
        <v>46000</v>
      </c>
      <c r="U71" s="26">
        <f>SUM(U69:U70)</f>
        <v>0</v>
      </c>
      <c r="V71" s="26">
        <f>T71+U71</f>
        <v>46000</v>
      </c>
      <c r="X71" s="26">
        <f t="shared" si="17"/>
        <v>1049297</v>
      </c>
      <c r="Y71" s="26">
        <f t="shared" si="17"/>
        <v>-1049297</v>
      </c>
      <c r="Z71" s="26">
        <f t="shared" si="17"/>
        <v>0</v>
      </c>
    </row>
    <row r="72" spans="2:26" x14ac:dyDescent="0.25">
      <c r="B72" s="2"/>
      <c r="C72" s="2"/>
    </row>
    <row r="73" spans="2:26" x14ac:dyDescent="0.25">
      <c r="B73" s="2" t="s">
        <v>523</v>
      </c>
      <c r="C73" s="2"/>
      <c r="D73" s="8">
        <f>D66+D71</f>
        <v>0</v>
      </c>
      <c r="E73" s="8">
        <f>E66+E71</f>
        <v>92000</v>
      </c>
      <c r="F73" s="8">
        <f>D73+E73</f>
        <v>92000</v>
      </c>
      <c r="H73" s="8">
        <f>H66+H71</f>
        <v>0</v>
      </c>
      <c r="I73" s="8">
        <f>I66+I71</f>
        <v>92000</v>
      </c>
      <c r="J73" s="8">
        <f>H73+I73</f>
        <v>92000</v>
      </c>
      <c r="L73" s="8">
        <f>L66+L71</f>
        <v>165000</v>
      </c>
      <c r="M73" s="8">
        <f>M66+M71</f>
        <v>-73000</v>
      </c>
      <c r="N73" s="8">
        <f>L73+M73</f>
        <v>92000</v>
      </c>
      <c r="P73" s="8">
        <f>P66+P71</f>
        <v>838297</v>
      </c>
      <c r="Q73" s="8">
        <f>Q66+Q71</f>
        <v>-240297</v>
      </c>
      <c r="R73" s="8">
        <f>P73+Q73</f>
        <v>598000</v>
      </c>
      <c r="T73" s="8">
        <f>T66+T71</f>
        <v>46000</v>
      </c>
      <c r="U73" s="8">
        <f>U66+U71</f>
        <v>0</v>
      </c>
      <c r="V73" s="8">
        <f>T73+U73</f>
        <v>46000</v>
      </c>
      <c r="X73" s="8">
        <f>D73+H73+L73+P73+T73</f>
        <v>1049297</v>
      </c>
      <c r="Y73" s="8">
        <f>E73+I73+M73+Q73+U73</f>
        <v>-129297</v>
      </c>
      <c r="Z73" s="8">
        <f>F73+J73+N73+R73+V73</f>
        <v>920000</v>
      </c>
    </row>
    <row r="74" spans="2:26" x14ac:dyDescent="0.25">
      <c r="B74" s="2"/>
      <c r="C74" s="2"/>
    </row>
    <row r="75" spans="2:26" x14ac:dyDescent="0.25">
      <c r="Q75" s="1"/>
    </row>
    <row r="76" spans="2:26" x14ac:dyDescent="0.25">
      <c r="D76" t="s">
        <v>72</v>
      </c>
    </row>
    <row r="77" spans="2:26" x14ac:dyDescent="0.25">
      <c r="D77" s="2"/>
      <c r="Q77" s="1"/>
    </row>
    <row r="78" spans="2:26" x14ac:dyDescent="0.25">
      <c r="D78" s="2" t="s">
        <v>58</v>
      </c>
      <c r="E78" t="s">
        <v>549</v>
      </c>
    </row>
    <row r="79" spans="2:26" x14ac:dyDescent="0.25">
      <c r="D79" s="2"/>
      <c r="E79" t="s">
        <v>550</v>
      </c>
    </row>
    <row r="80" spans="2:26" x14ac:dyDescent="0.25">
      <c r="D80" s="2"/>
      <c r="E80" t="s">
        <v>551</v>
      </c>
    </row>
    <row r="81" spans="4:18" x14ac:dyDescent="0.25">
      <c r="E81" t="s">
        <v>552</v>
      </c>
    </row>
    <row r="83" spans="4:18" x14ac:dyDescent="0.25">
      <c r="D83" s="2" t="s">
        <v>60</v>
      </c>
      <c r="E83" t="s">
        <v>553</v>
      </c>
    </row>
    <row r="84" spans="4:18" x14ac:dyDescent="0.25">
      <c r="D84" s="2"/>
      <c r="E84" t="s">
        <v>554</v>
      </c>
    </row>
    <row r="85" spans="4:18" x14ac:dyDescent="0.25">
      <c r="D85" s="2"/>
      <c r="E85" t="s">
        <v>555</v>
      </c>
    </row>
    <row r="86" spans="4:18" x14ac:dyDescent="0.25">
      <c r="D86" s="2"/>
      <c r="E86" t="s">
        <v>552</v>
      </c>
    </row>
    <row r="87" spans="4:18" x14ac:dyDescent="0.25">
      <c r="E87" s="2"/>
    </row>
    <row r="89" spans="4:18" x14ac:dyDescent="0.25">
      <c r="D89" t="s">
        <v>524</v>
      </c>
    </row>
    <row r="91" spans="4:18" x14ac:dyDescent="0.25">
      <c r="D91" s="36" t="s">
        <v>3</v>
      </c>
      <c r="E91" s="36"/>
      <c r="F91" s="36"/>
      <c r="H91" s="36" t="s">
        <v>4</v>
      </c>
      <c r="I91" s="36"/>
      <c r="J91" s="36"/>
      <c r="L91" s="36" t="s">
        <v>2</v>
      </c>
      <c r="M91" s="36"/>
      <c r="N91" s="36"/>
      <c r="P91" s="36" t="s">
        <v>13</v>
      </c>
      <c r="Q91" s="36"/>
      <c r="R91" s="36"/>
    </row>
    <row r="92" spans="4:18" x14ac:dyDescent="0.25">
      <c r="D92" s="6"/>
      <c r="E92" s="6"/>
      <c r="F92" s="6"/>
      <c r="H92" s="6"/>
      <c r="I92" s="6"/>
      <c r="J92" s="6"/>
    </row>
    <row r="93" spans="4:18" x14ac:dyDescent="0.25">
      <c r="E93" s="6" t="s">
        <v>110</v>
      </c>
      <c r="F93" s="6" t="s">
        <v>111</v>
      </c>
      <c r="I93" s="6" t="s">
        <v>110</v>
      </c>
      <c r="J93" s="6" t="s">
        <v>111</v>
      </c>
      <c r="M93" s="6" t="s">
        <v>110</v>
      </c>
      <c r="N93" s="6" t="s">
        <v>111</v>
      </c>
      <c r="Q93" s="6" t="s">
        <v>110</v>
      </c>
      <c r="R93" s="6" t="s">
        <v>111</v>
      </c>
    </row>
    <row r="94" spans="4:18" x14ac:dyDescent="0.25">
      <c r="E94" s="6"/>
      <c r="F94" s="6"/>
    </row>
    <row r="95" spans="4:18" x14ac:dyDescent="0.25">
      <c r="E95" s="2" t="s">
        <v>113</v>
      </c>
      <c r="F95" s="13">
        <v>0</v>
      </c>
      <c r="I95" s="24" t="s">
        <v>604</v>
      </c>
      <c r="J95" s="9">
        <f>'FY06'!H24+'FY06'!H33</f>
        <v>13000</v>
      </c>
      <c r="M95" s="2" t="s">
        <v>113</v>
      </c>
      <c r="N95" s="13">
        <v>0</v>
      </c>
      <c r="Q95" s="2" t="s">
        <v>567</v>
      </c>
      <c r="R95" s="9">
        <f>'FY06'!P25+'FY06'!P34</f>
        <v>30163.34</v>
      </c>
    </row>
    <row r="96" spans="4:18" x14ac:dyDescent="0.25">
      <c r="I96" s="24" t="s">
        <v>567</v>
      </c>
      <c r="J96" s="9">
        <f>'FY06'!H25+'FY06'!H34</f>
        <v>10000</v>
      </c>
      <c r="Q96" s="2" t="s">
        <v>113</v>
      </c>
      <c r="R96" s="13">
        <f>SUM(R95:R95)</f>
        <v>30163.34</v>
      </c>
    </row>
    <row r="97" spans="9:10" x14ac:dyDescent="0.25">
      <c r="I97" s="2" t="s">
        <v>113</v>
      </c>
      <c r="J97" s="13">
        <f>SUM(J95:J96)</f>
        <v>23000</v>
      </c>
    </row>
  </sheetData>
  <mergeCells count="11">
    <mergeCell ref="X4:Z4"/>
    <mergeCell ref="A61:B61"/>
    <mergeCell ref="D91:F91"/>
    <mergeCell ref="H91:J91"/>
    <mergeCell ref="L91:N91"/>
    <mergeCell ref="P91:R91"/>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2:AC78"/>
  <sheetViews>
    <sheetView workbookViewId="0">
      <pane xSplit="3" ySplit="6" topLeftCell="D7" activePane="bottomRight" state="frozen"/>
      <selection activeCell="C9" sqref="C9"/>
      <selection pane="topRight" activeCell="C9" sqref="C9"/>
      <selection pane="bottomLeft" activeCell="C9" sqref="C9"/>
      <selection pane="bottomRight" activeCell="A34" sqref="A34"/>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556</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557</v>
      </c>
      <c r="D7" s="9">
        <v>0</v>
      </c>
      <c r="E7" s="9">
        <v>0</v>
      </c>
      <c r="F7" s="8">
        <f>D7+E7</f>
        <v>0</v>
      </c>
      <c r="H7" s="9">
        <v>0</v>
      </c>
      <c r="I7" s="9">
        <v>0</v>
      </c>
      <c r="J7" s="8">
        <f>H7+I7</f>
        <v>0</v>
      </c>
      <c r="L7" s="9">
        <v>0</v>
      </c>
      <c r="M7" s="9">
        <v>0</v>
      </c>
      <c r="N7" s="8">
        <f>L7+M7</f>
        <v>0</v>
      </c>
      <c r="P7" s="9">
        <v>0</v>
      </c>
      <c r="Q7" s="9">
        <v>0</v>
      </c>
      <c r="R7" s="8">
        <f>P7+Q7</f>
        <v>0</v>
      </c>
      <c r="S7" s="1"/>
      <c r="T7" s="9">
        <v>0</v>
      </c>
      <c r="U7" s="9">
        <v>0</v>
      </c>
      <c r="V7" s="8">
        <f>T7+U7</f>
        <v>0</v>
      </c>
      <c r="X7" s="8">
        <f>D7+H7+L7+P7+T7</f>
        <v>0</v>
      </c>
      <c r="Y7" s="8">
        <f>E7+I7+M7+Q7+U7</f>
        <v>0</v>
      </c>
      <c r="Z7" s="8">
        <f>F7+J7+N7+R7+V7</f>
        <v>0</v>
      </c>
    </row>
    <row r="8" spans="2:26" x14ac:dyDescent="0.25">
      <c r="Y8" s="1"/>
      <c r="Z8" s="1"/>
    </row>
    <row r="9" spans="2:26" x14ac:dyDescent="0.25">
      <c r="B9" s="5" t="s">
        <v>11</v>
      </c>
      <c r="Y9" s="1"/>
      <c r="Z9" s="1"/>
    </row>
    <row r="10" spans="2:26" x14ac:dyDescent="0.25">
      <c r="B10" s="2" t="s">
        <v>750</v>
      </c>
      <c r="D10" s="9">
        <v>0</v>
      </c>
      <c r="E10" s="9">
        <f>ROUND(463002.88/10,2)</f>
        <v>46300.29</v>
      </c>
      <c r="F10" s="8">
        <f>D10+E10</f>
        <v>46300.29</v>
      </c>
      <c r="H10" s="9">
        <v>0</v>
      </c>
      <c r="I10" s="9">
        <f>ROUND(463002.88/10,2)</f>
        <v>46300.29</v>
      </c>
      <c r="J10" s="8">
        <f>H10+I10</f>
        <v>46300.29</v>
      </c>
      <c r="L10" s="9">
        <v>0</v>
      </c>
      <c r="M10" s="9">
        <f>ROUND(463002.88/10,2)</f>
        <v>46300.29</v>
      </c>
      <c r="N10" s="8">
        <f>L10+M10</f>
        <v>46300.29</v>
      </c>
      <c r="P10" s="9">
        <v>0</v>
      </c>
      <c r="Q10" s="9">
        <f>463002.88-E10-I10-M10</f>
        <v>324102.01000000007</v>
      </c>
      <c r="R10" s="8">
        <f>P10+Q10</f>
        <v>324102.01000000007</v>
      </c>
      <c r="S10" s="1"/>
      <c r="T10" s="1"/>
      <c r="U10" s="1"/>
      <c r="V10" s="1"/>
      <c r="X10" s="8">
        <f t="shared" ref="X10:Z15" si="0">D10+H10+L10+P10+T10</f>
        <v>0</v>
      </c>
      <c r="Y10" s="8">
        <f t="shared" si="0"/>
        <v>463002.88000000006</v>
      </c>
      <c r="Z10" s="8">
        <f t="shared" si="0"/>
        <v>463002.88000000006</v>
      </c>
    </row>
    <row r="11" spans="2:26" x14ac:dyDescent="0.25">
      <c r="B11" s="2" t="s">
        <v>5</v>
      </c>
      <c r="D11" s="9">
        <v>0</v>
      </c>
      <c r="E11" s="9">
        <v>0</v>
      </c>
      <c r="F11" s="8">
        <f>D11+E11</f>
        <v>0</v>
      </c>
      <c r="H11" s="9">
        <v>0</v>
      </c>
      <c r="I11" s="9">
        <v>0</v>
      </c>
      <c r="J11" s="8">
        <f>H11+I11</f>
        <v>0</v>
      </c>
      <c r="L11" s="9">
        <v>0</v>
      </c>
      <c r="M11" s="9">
        <v>0</v>
      </c>
      <c r="N11" s="8">
        <f>L11+M11</f>
        <v>0</v>
      </c>
      <c r="P11" s="9">
        <v>0</v>
      </c>
      <c r="Q11" s="9">
        <v>0</v>
      </c>
      <c r="R11" s="8">
        <f>P11+Q11</f>
        <v>0</v>
      </c>
      <c r="S11" s="1"/>
      <c r="T11" s="1"/>
      <c r="U11" s="1"/>
      <c r="V11" s="1"/>
      <c r="X11" s="8">
        <f t="shared" si="0"/>
        <v>0</v>
      </c>
      <c r="Y11" s="8">
        <f t="shared" si="0"/>
        <v>0</v>
      </c>
      <c r="Z11" s="8">
        <f t="shared" si="0"/>
        <v>0</v>
      </c>
    </row>
    <row r="12" spans="2:26" x14ac:dyDescent="0.25">
      <c r="B12" s="2" t="s">
        <v>558</v>
      </c>
      <c r="D12" s="9">
        <v>0</v>
      </c>
      <c r="E12" s="9">
        <v>0</v>
      </c>
      <c r="F12" s="8">
        <f>D12+E12</f>
        <v>0</v>
      </c>
      <c r="H12" s="9">
        <v>0</v>
      </c>
      <c r="I12" s="9">
        <v>0</v>
      </c>
      <c r="J12" s="8">
        <f>H12+I12</f>
        <v>0</v>
      </c>
      <c r="L12" s="9">
        <v>0</v>
      </c>
      <c r="M12" s="9">
        <v>0</v>
      </c>
      <c r="N12" s="8">
        <f>L12+M12</f>
        <v>0</v>
      </c>
      <c r="P12" s="9">
        <v>0</v>
      </c>
      <c r="Q12" s="9">
        <v>0</v>
      </c>
      <c r="R12" s="8">
        <f>P12+Q12</f>
        <v>0</v>
      </c>
      <c r="S12" s="1"/>
      <c r="T12" s="1"/>
      <c r="U12" s="1"/>
      <c r="V12" s="1"/>
      <c r="X12" s="8">
        <f t="shared" si="0"/>
        <v>0</v>
      </c>
      <c r="Y12" s="8">
        <f t="shared" si="0"/>
        <v>0</v>
      </c>
      <c r="Z12" s="8">
        <f t="shared" si="0"/>
        <v>0</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559</v>
      </c>
      <c r="D14" s="14">
        <v>0</v>
      </c>
      <c r="E14" s="14">
        <f>ROUND(2891.68/10,2)</f>
        <v>289.17</v>
      </c>
      <c r="F14" s="15">
        <f>D14+E14</f>
        <v>289.17</v>
      </c>
      <c r="H14" s="14">
        <v>0</v>
      </c>
      <c r="I14" s="14">
        <f>ROUND(2891.68/10,2)</f>
        <v>289.17</v>
      </c>
      <c r="J14" s="15">
        <f>H14+I14</f>
        <v>289.17</v>
      </c>
      <c r="L14" s="14">
        <v>0</v>
      </c>
      <c r="M14" s="14">
        <f>ROUND(2891.68/10,2)</f>
        <v>289.17</v>
      </c>
      <c r="N14" s="15">
        <f>L14+M14</f>
        <v>289.17</v>
      </c>
      <c r="P14" s="14">
        <v>0</v>
      </c>
      <c r="Q14" s="14">
        <f>2891.68-E14-I14-M14</f>
        <v>2024.1699999999996</v>
      </c>
      <c r="R14" s="15">
        <f>P14+Q14</f>
        <v>2024.1699999999996</v>
      </c>
      <c r="S14" s="1"/>
      <c r="T14" s="3"/>
      <c r="U14" s="3"/>
      <c r="V14" s="3"/>
      <c r="X14" s="15">
        <f t="shared" si="0"/>
        <v>0</v>
      </c>
      <c r="Y14" s="15">
        <f t="shared" si="0"/>
        <v>2891.6799999999994</v>
      </c>
      <c r="Z14" s="15">
        <f t="shared" si="0"/>
        <v>2891.6799999999994</v>
      </c>
    </row>
    <row r="15" spans="2:26" x14ac:dyDescent="0.25">
      <c r="B15" s="2" t="s">
        <v>28</v>
      </c>
      <c r="D15" s="26">
        <f>SUM(D10:D14)</f>
        <v>0</v>
      </c>
      <c r="E15" s="26">
        <f>SUM(E10:E14)</f>
        <v>46589.46</v>
      </c>
      <c r="F15" s="26">
        <f>D15+E15</f>
        <v>46589.46</v>
      </c>
      <c r="H15" s="26">
        <f>SUM(H10:H14)</f>
        <v>0</v>
      </c>
      <c r="I15" s="26">
        <f>SUM(I10:I14)</f>
        <v>46589.46</v>
      </c>
      <c r="J15" s="26">
        <f>H15+I15</f>
        <v>46589.46</v>
      </c>
      <c r="L15" s="26">
        <f>SUM(L10:L14)</f>
        <v>0</v>
      </c>
      <c r="M15" s="26">
        <f>SUM(M10:M14)</f>
        <v>46589.46</v>
      </c>
      <c r="N15" s="26">
        <f>L15+M15</f>
        <v>46589.46</v>
      </c>
      <c r="P15" s="26">
        <f>SUM(P10:P14)</f>
        <v>0</v>
      </c>
      <c r="Q15" s="26">
        <f>SUM(Q10:Q14)</f>
        <v>326126.18000000005</v>
      </c>
      <c r="R15" s="26">
        <f>P15+Q15</f>
        <v>326126.18000000005</v>
      </c>
      <c r="S15" s="1"/>
      <c r="T15" s="26">
        <f>SUM(T10:T14)</f>
        <v>0</v>
      </c>
      <c r="U15" s="26">
        <f>SUM(U10:U14)</f>
        <v>0</v>
      </c>
      <c r="V15" s="26">
        <f>T15+U15</f>
        <v>0</v>
      </c>
      <c r="X15" s="26">
        <f t="shared" si="0"/>
        <v>0</v>
      </c>
      <c r="Y15" s="26">
        <f t="shared" si="0"/>
        <v>465894.56000000006</v>
      </c>
      <c r="Z15" s="26">
        <f t="shared" si="0"/>
        <v>465894.56000000006</v>
      </c>
    </row>
    <row r="16" spans="2:26" x14ac:dyDescent="0.25">
      <c r="D16" s="1"/>
      <c r="E16" s="1"/>
      <c r="F16" s="1"/>
      <c r="H16" s="1"/>
      <c r="I16" s="1"/>
      <c r="J16" s="1"/>
      <c r="L16" s="1"/>
      <c r="M16" s="1"/>
      <c r="N16" s="1"/>
      <c r="P16" s="1"/>
      <c r="Q16" s="1"/>
      <c r="R16" s="1"/>
      <c r="S16" s="1"/>
      <c r="T16" s="1"/>
      <c r="U16" s="1"/>
      <c r="V16" s="1"/>
    </row>
    <row r="17" spans="2:26" x14ac:dyDescent="0.25">
      <c r="B17" s="5" t="s">
        <v>560</v>
      </c>
      <c r="D17" s="1"/>
      <c r="E17" s="1"/>
      <c r="F17" s="1"/>
      <c r="H17" s="1"/>
      <c r="I17" s="1"/>
      <c r="J17" s="1"/>
      <c r="L17" s="1"/>
      <c r="M17" s="1"/>
      <c r="N17" s="1"/>
      <c r="P17" s="1"/>
      <c r="Q17" s="1"/>
      <c r="R17" s="1"/>
      <c r="S17" s="1"/>
      <c r="T17" s="1"/>
      <c r="U17" s="1"/>
      <c r="V17" s="1"/>
    </row>
    <row r="18" spans="2:26" ht="15.75" thickBot="1" x14ac:dyDescent="0.3">
      <c r="B18" s="2" t="s">
        <v>88</v>
      </c>
      <c r="D18" s="1"/>
      <c r="E18" s="1"/>
      <c r="F18" s="1"/>
      <c r="H18" s="1"/>
      <c r="I18" s="1"/>
      <c r="J18" s="1"/>
      <c r="L18" s="1"/>
      <c r="M18" s="1"/>
      <c r="N18" s="1"/>
      <c r="P18" s="9">
        <v>0</v>
      </c>
      <c r="Q18" s="8">
        <f>-T18</f>
        <v>-20000</v>
      </c>
      <c r="R18" s="8">
        <f>P18+Q18</f>
        <v>-20000</v>
      </c>
      <c r="S18" s="1"/>
      <c r="T18" s="9">
        <v>20000</v>
      </c>
      <c r="U18" s="9">
        <v>0</v>
      </c>
      <c r="V18" s="8">
        <f>T18+U18</f>
        <v>20000</v>
      </c>
      <c r="X18" s="8">
        <f t="shared" ref="X18:Z19" si="8">D18+H18+L18+P18+T18</f>
        <v>20000</v>
      </c>
      <c r="Y18" s="8">
        <f t="shared" si="8"/>
        <v>-20000</v>
      </c>
      <c r="Z18" s="8">
        <f t="shared" si="8"/>
        <v>0</v>
      </c>
    </row>
    <row r="19" spans="2:26" x14ac:dyDescent="0.25">
      <c r="B19" s="2" t="s">
        <v>561</v>
      </c>
      <c r="D19" s="26">
        <f>SUM(D18:D18)</f>
        <v>0</v>
      </c>
      <c r="E19" s="26">
        <f>SUM(E18:E18)</f>
        <v>0</v>
      </c>
      <c r="F19" s="26">
        <f>D19+E19</f>
        <v>0</v>
      </c>
      <c r="H19" s="26">
        <f>SUM(H18:H18)</f>
        <v>0</v>
      </c>
      <c r="I19" s="26">
        <f>SUM(I18:I18)</f>
        <v>0</v>
      </c>
      <c r="J19" s="26">
        <f>H19+I19</f>
        <v>0</v>
      </c>
      <c r="L19" s="26">
        <f>SUM(L18:L18)</f>
        <v>0</v>
      </c>
      <c r="M19" s="26">
        <f>SUM(M18:M18)</f>
        <v>0</v>
      </c>
      <c r="N19" s="26">
        <f>L19+M19</f>
        <v>0</v>
      </c>
      <c r="P19" s="26">
        <f>SUM(P18:P18)</f>
        <v>0</v>
      </c>
      <c r="Q19" s="26">
        <f>SUM(Q18:Q18)</f>
        <v>-20000</v>
      </c>
      <c r="R19" s="26">
        <f>P19+Q19</f>
        <v>-20000</v>
      </c>
      <c r="S19" s="1"/>
      <c r="T19" s="26">
        <f>SUM(T18:T18)</f>
        <v>20000</v>
      </c>
      <c r="U19" s="26">
        <f>SUM(U18:U18)</f>
        <v>0</v>
      </c>
      <c r="V19" s="26">
        <f>T19+U19</f>
        <v>20000</v>
      </c>
      <c r="X19" s="26">
        <f t="shared" si="8"/>
        <v>20000</v>
      </c>
      <c r="Y19" s="26">
        <f t="shared" si="8"/>
        <v>-20000</v>
      </c>
      <c r="Z19" s="26">
        <f t="shared" si="8"/>
        <v>0</v>
      </c>
    </row>
    <row r="20" spans="2:26" x14ac:dyDescent="0.25">
      <c r="D20" s="1"/>
      <c r="E20" s="1"/>
      <c r="F20" s="1"/>
      <c r="H20" s="1"/>
      <c r="I20" s="1"/>
      <c r="J20" s="1"/>
      <c r="L20" s="1"/>
      <c r="M20" s="1"/>
      <c r="N20" s="1"/>
      <c r="P20" s="1"/>
      <c r="Q20" s="1"/>
      <c r="R20" s="1"/>
      <c r="S20" s="1"/>
      <c r="T20" s="1"/>
      <c r="U20" s="1"/>
      <c r="V20" s="1"/>
    </row>
    <row r="21" spans="2:26" x14ac:dyDescent="0.25">
      <c r="B21" s="5" t="s">
        <v>562</v>
      </c>
      <c r="D21" s="1"/>
      <c r="E21" s="1"/>
      <c r="F21" s="1"/>
      <c r="H21" s="1"/>
      <c r="I21" s="1"/>
      <c r="J21" s="1"/>
      <c r="L21" s="1"/>
      <c r="M21" s="1"/>
      <c r="N21" s="1"/>
      <c r="P21" s="1"/>
      <c r="Q21" s="1"/>
      <c r="R21" s="1"/>
      <c r="S21" s="1"/>
      <c r="T21" s="1"/>
      <c r="U21" s="1"/>
      <c r="V21" s="1"/>
    </row>
    <row r="22" spans="2:26" x14ac:dyDescent="0.25">
      <c r="B22" s="2" t="s">
        <v>596</v>
      </c>
      <c r="C22" s="6" t="s">
        <v>563</v>
      </c>
      <c r="F22" s="1"/>
      <c r="H22" s="1"/>
      <c r="I22" s="1"/>
      <c r="J22" s="1"/>
      <c r="L22" s="9">
        <v>40000</v>
      </c>
      <c r="M22" s="25">
        <f>-L22</f>
        <v>-40000</v>
      </c>
      <c r="N22" s="8">
        <f>L22+M22</f>
        <v>0</v>
      </c>
      <c r="P22" s="9">
        <v>145000</v>
      </c>
      <c r="Q22" s="25">
        <f>-P22</f>
        <v>-145000</v>
      </c>
      <c r="R22" s="8">
        <f>P22+Q22</f>
        <v>0</v>
      </c>
      <c r="S22" s="1"/>
      <c r="T22" s="1"/>
      <c r="U22" s="1"/>
      <c r="V22" s="1"/>
      <c r="X22" s="8">
        <f t="shared" ref="X22:Z26" si="9">D22+H22+L22+P22+T22</f>
        <v>185000</v>
      </c>
      <c r="Y22" s="8">
        <f t="shared" si="9"/>
        <v>-185000</v>
      </c>
      <c r="Z22" s="8">
        <f t="shared" si="9"/>
        <v>0</v>
      </c>
    </row>
    <row r="23" spans="2:26" x14ac:dyDescent="0.25">
      <c r="B23" s="2" t="s">
        <v>564</v>
      </c>
      <c r="C23" s="6" t="s">
        <v>565</v>
      </c>
      <c r="F23" s="1"/>
      <c r="H23" s="1"/>
      <c r="I23" s="1"/>
      <c r="J23" s="1"/>
      <c r="L23" s="1"/>
      <c r="M23" s="1"/>
      <c r="N23" s="1"/>
      <c r="P23" s="9">
        <v>23190</v>
      </c>
      <c r="Q23" s="25">
        <f>-P23</f>
        <v>-23190</v>
      </c>
      <c r="R23" s="8">
        <f>P23+Q23</f>
        <v>0</v>
      </c>
      <c r="S23" s="1"/>
      <c r="T23" s="1"/>
      <c r="U23" s="1"/>
      <c r="V23" s="1"/>
      <c r="X23" s="8">
        <f t="shared" si="9"/>
        <v>23190</v>
      </c>
      <c r="Y23" s="8">
        <f t="shared" si="9"/>
        <v>-23190</v>
      </c>
      <c r="Z23" s="8">
        <f t="shared" si="9"/>
        <v>0</v>
      </c>
    </row>
    <row r="24" spans="2:26" x14ac:dyDescent="0.25">
      <c r="B24" s="2" t="s">
        <v>604</v>
      </c>
      <c r="C24" s="6" t="s">
        <v>566</v>
      </c>
      <c r="F24" s="1"/>
      <c r="H24" s="9">
        <v>22000</v>
      </c>
      <c r="I24" s="8">
        <f>-H24</f>
        <v>-22000</v>
      </c>
      <c r="J24" s="8">
        <f>H24+I24</f>
        <v>0</v>
      </c>
      <c r="L24" s="1"/>
      <c r="M24" s="1"/>
      <c r="N24" s="1"/>
      <c r="P24" s="9">
        <v>500</v>
      </c>
      <c r="Q24" s="8">
        <f>-P24</f>
        <v>-500</v>
      </c>
      <c r="R24" s="8">
        <f>P24+Q24</f>
        <v>0</v>
      </c>
      <c r="S24" s="1"/>
      <c r="T24" s="1"/>
      <c r="U24" s="1"/>
      <c r="V24" s="1"/>
      <c r="X24" s="8">
        <f t="shared" si="9"/>
        <v>22500</v>
      </c>
      <c r="Y24" s="8">
        <f t="shared" si="9"/>
        <v>-22500</v>
      </c>
      <c r="Z24" s="8">
        <f t="shared" si="9"/>
        <v>0</v>
      </c>
    </row>
    <row r="25" spans="2:26" ht="15.75" thickBot="1" x14ac:dyDescent="0.3">
      <c r="B25" s="24" t="s">
        <v>567</v>
      </c>
      <c r="C25" s="6" t="s">
        <v>16</v>
      </c>
      <c r="F25" s="1"/>
      <c r="H25" s="9">
        <v>10000</v>
      </c>
      <c r="I25" s="8">
        <f>-H25</f>
        <v>-10000</v>
      </c>
      <c r="J25" s="8">
        <f>H25+I25</f>
        <v>0</v>
      </c>
      <c r="L25" s="1"/>
      <c r="M25" s="1"/>
      <c r="N25" s="1"/>
      <c r="P25" s="9">
        <v>50000</v>
      </c>
      <c r="Q25" s="25">
        <f>-P25</f>
        <v>-50000</v>
      </c>
      <c r="R25" s="8">
        <f>P25+Q25</f>
        <v>0</v>
      </c>
      <c r="S25" s="1"/>
      <c r="T25" s="1"/>
      <c r="U25" s="1"/>
      <c r="V25" s="1"/>
      <c r="X25" s="8">
        <f t="shared" si="9"/>
        <v>60000</v>
      </c>
      <c r="Y25" s="8">
        <f t="shared" si="9"/>
        <v>-60000</v>
      </c>
      <c r="Z25" s="8">
        <f t="shared" si="9"/>
        <v>0</v>
      </c>
    </row>
    <row r="26" spans="2:26" x14ac:dyDescent="0.25">
      <c r="B26" s="2" t="s">
        <v>561</v>
      </c>
      <c r="D26" s="26">
        <f>SUM(D22:D25)</f>
        <v>0</v>
      </c>
      <c r="E26" s="26">
        <f>SUM(E22:E25)</f>
        <v>0</v>
      </c>
      <c r="F26" s="26">
        <f>D26+E26</f>
        <v>0</v>
      </c>
      <c r="H26" s="26">
        <f>SUM(H22:H25)</f>
        <v>32000</v>
      </c>
      <c r="I26" s="26">
        <f>SUM(I22:I25)</f>
        <v>-32000</v>
      </c>
      <c r="J26" s="26">
        <f>H26+I26</f>
        <v>0</v>
      </c>
      <c r="L26" s="26">
        <f>SUM(L22:L25)</f>
        <v>40000</v>
      </c>
      <c r="M26" s="26">
        <f>SUM(M22:M25)</f>
        <v>-40000</v>
      </c>
      <c r="N26" s="26">
        <f>L26+M26</f>
        <v>0</v>
      </c>
      <c r="P26" s="26">
        <f>SUM(P22:P25)</f>
        <v>218690</v>
      </c>
      <c r="Q26" s="26">
        <f>SUM(Q22:Q25)</f>
        <v>-218690</v>
      </c>
      <c r="R26" s="26">
        <f>P26+Q26</f>
        <v>0</v>
      </c>
      <c r="S26" s="1"/>
      <c r="T26" s="26">
        <f>SUM(T22:T25)</f>
        <v>0</v>
      </c>
      <c r="U26" s="26">
        <f>SUM(U22:U25)</f>
        <v>0</v>
      </c>
      <c r="V26" s="26">
        <f>T26+U26</f>
        <v>0</v>
      </c>
      <c r="X26" s="26">
        <f t="shared" si="9"/>
        <v>290690</v>
      </c>
      <c r="Y26" s="26">
        <f t="shared" si="9"/>
        <v>-290690</v>
      </c>
      <c r="Z26" s="26">
        <f t="shared" si="9"/>
        <v>0</v>
      </c>
    </row>
    <row r="27" spans="2:26" x14ac:dyDescent="0.25">
      <c r="B27" s="2"/>
      <c r="D27" s="1"/>
      <c r="E27" s="1"/>
      <c r="F27" s="1"/>
      <c r="H27" s="1"/>
      <c r="I27" s="1"/>
      <c r="J27" s="1"/>
      <c r="L27" s="1"/>
      <c r="M27" s="1"/>
      <c r="N27" s="1"/>
      <c r="P27" s="1"/>
      <c r="Q27" s="1"/>
      <c r="R27" s="1"/>
      <c r="S27" s="1"/>
      <c r="T27" s="1"/>
      <c r="U27" s="1"/>
      <c r="V27" s="1"/>
    </row>
    <row r="28" spans="2:26" x14ac:dyDescent="0.25">
      <c r="B28" s="5" t="s">
        <v>8</v>
      </c>
      <c r="D28" s="1"/>
      <c r="E28" s="1"/>
      <c r="F28" s="1"/>
      <c r="H28" s="1"/>
      <c r="I28" s="1"/>
      <c r="J28" s="1"/>
      <c r="L28" s="1"/>
      <c r="M28" s="1"/>
      <c r="N28" s="1"/>
      <c r="P28" s="1"/>
      <c r="Q28" s="1"/>
      <c r="R28" s="1"/>
      <c r="S28" s="1"/>
      <c r="T28" s="1"/>
      <c r="U28" s="1"/>
      <c r="V28" s="1"/>
    </row>
    <row r="29" spans="2:26" x14ac:dyDescent="0.25">
      <c r="B29" s="2" t="s">
        <v>7</v>
      </c>
      <c r="D29" s="1"/>
      <c r="E29" s="1"/>
      <c r="F29" s="1"/>
      <c r="H29" s="1"/>
      <c r="I29" s="1"/>
      <c r="J29" s="1"/>
      <c r="L29" s="1"/>
      <c r="M29" s="1"/>
      <c r="N29" s="1"/>
      <c r="P29" s="1"/>
      <c r="Q29" s="1"/>
      <c r="R29" s="1"/>
      <c r="S29" s="1"/>
      <c r="T29" s="9">
        <v>0</v>
      </c>
      <c r="U29" s="9">
        <v>0</v>
      </c>
      <c r="V29" s="8">
        <f>T29+U29</f>
        <v>0</v>
      </c>
      <c r="X29" s="8">
        <f t="shared" ref="X29" si="10">D29+H29+L29+P29+T29</f>
        <v>0</v>
      </c>
      <c r="Y29" s="8">
        <f t="shared" ref="Y29" si="11">E29+I29+M29+Q29+U29</f>
        <v>0</v>
      </c>
      <c r="Z29" s="8">
        <f t="shared" ref="Z29" si="12">F29+J29+N29+R29+V29</f>
        <v>0</v>
      </c>
    </row>
    <row r="30" spans="2:26" x14ac:dyDescent="0.25">
      <c r="B30" s="2" t="s">
        <v>77</v>
      </c>
      <c r="D30" s="1"/>
      <c r="E30" s="1"/>
      <c r="F30" s="1"/>
      <c r="H30" s="1"/>
      <c r="I30" s="1"/>
      <c r="J30" s="1"/>
      <c r="L30" s="1"/>
      <c r="M30" s="1"/>
      <c r="N30" s="1"/>
      <c r="Q30" s="1"/>
      <c r="R30" s="1"/>
      <c r="S30" s="1"/>
      <c r="T30" s="9">
        <f>-406.99-17.15-141.36</f>
        <v>-565.5</v>
      </c>
      <c r="U30" s="9">
        <v>0</v>
      </c>
      <c r="V30" s="8">
        <f>T30+U30</f>
        <v>-565.5</v>
      </c>
      <c r="X30" s="8">
        <f t="shared" ref="X30:Z35" si="13">D30+H30+L30+P30+T30</f>
        <v>-565.5</v>
      </c>
      <c r="Y30" s="8">
        <f t="shared" si="13"/>
        <v>0</v>
      </c>
      <c r="Z30" s="8">
        <f t="shared" si="13"/>
        <v>-565.5</v>
      </c>
    </row>
    <row r="31" spans="2:26" x14ac:dyDescent="0.25">
      <c r="B31" s="2" t="s">
        <v>596</v>
      </c>
      <c r="C31" s="6" t="s">
        <v>563</v>
      </c>
      <c r="H31" s="1"/>
      <c r="I31" s="1"/>
      <c r="J31" s="1"/>
      <c r="L31" s="9">
        <v>-40000</v>
      </c>
      <c r="M31" s="9">
        <v>0</v>
      </c>
      <c r="N31" s="8">
        <f>L31+M31</f>
        <v>-40000</v>
      </c>
      <c r="P31" s="9">
        <v>-145000</v>
      </c>
      <c r="Q31" s="9">
        <v>0</v>
      </c>
      <c r="R31" s="8">
        <f>P31+Q31</f>
        <v>-145000</v>
      </c>
      <c r="X31" s="8">
        <f t="shared" si="13"/>
        <v>-185000</v>
      </c>
      <c r="Y31" s="8">
        <f t="shared" si="13"/>
        <v>0</v>
      </c>
      <c r="Z31" s="8">
        <f t="shared" si="13"/>
        <v>-185000</v>
      </c>
    </row>
    <row r="32" spans="2:26" x14ac:dyDescent="0.25">
      <c r="B32" s="2" t="s">
        <v>564</v>
      </c>
      <c r="C32" s="6" t="s">
        <v>565</v>
      </c>
      <c r="D32" s="1"/>
      <c r="E32" s="1"/>
      <c r="F32" s="1"/>
      <c r="L32" s="1"/>
      <c r="M32" s="1"/>
      <c r="N32" s="1"/>
      <c r="P32" s="9">
        <v>-23190</v>
      </c>
      <c r="Q32" s="9">
        <v>0</v>
      </c>
      <c r="R32" s="8">
        <f>P32+Q32</f>
        <v>-23190</v>
      </c>
      <c r="S32" s="1"/>
      <c r="T32" s="1"/>
      <c r="U32" s="1"/>
      <c r="V32" s="1"/>
      <c r="X32" s="8">
        <f t="shared" si="13"/>
        <v>-23190</v>
      </c>
      <c r="Y32" s="8">
        <f t="shared" si="13"/>
        <v>0</v>
      </c>
      <c r="Z32" s="8">
        <f t="shared" si="13"/>
        <v>-23190</v>
      </c>
    </row>
    <row r="33" spans="2:29" x14ac:dyDescent="0.25">
      <c r="B33" s="24" t="s">
        <v>604</v>
      </c>
      <c r="C33" s="6" t="s">
        <v>566</v>
      </c>
      <c r="H33" s="9">
        <f>-4000-5000</f>
        <v>-9000</v>
      </c>
      <c r="I33" s="9">
        <v>0</v>
      </c>
      <c r="J33" s="8">
        <f>H33+I33</f>
        <v>-9000</v>
      </c>
      <c r="L33" s="1"/>
      <c r="M33" s="1"/>
      <c r="N33" s="1"/>
      <c r="X33" s="8">
        <f t="shared" si="13"/>
        <v>-9000</v>
      </c>
      <c r="Y33" s="8">
        <f t="shared" si="13"/>
        <v>0</v>
      </c>
      <c r="Z33" s="8">
        <f t="shared" si="13"/>
        <v>-9000</v>
      </c>
    </row>
    <row r="34" spans="2:29" ht="15.75" thickBot="1" x14ac:dyDescent="0.3">
      <c r="B34" s="24" t="s">
        <v>567</v>
      </c>
      <c r="C34" s="6" t="s">
        <v>16</v>
      </c>
      <c r="H34" s="9">
        <v>0</v>
      </c>
      <c r="I34" s="9">
        <v>0</v>
      </c>
      <c r="J34" s="8">
        <f>H34+I34</f>
        <v>0</v>
      </c>
      <c r="L34" s="1"/>
      <c r="M34" s="1"/>
      <c r="N34" s="1"/>
      <c r="P34" s="9">
        <f>-10000-9836.66</f>
        <v>-19836.66</v>
      </c>
      <c r="Q34" s="9">
        <v>0</v>
      </c>
      <c r="R34" s="8">
        <f>P34+Q34</f>
        <v>-19836.66</v>
      </c>
      <c r="X34" s="8">
        <f t="shared" si="13"/>
        <v>-19836.66</v>
      </c>
      <c r="Y34" s="8">
        <f t="shared" si="13"/>
        <v>0</v>
      </c>
      <c r="Z34" s="8">
        <f t="shared" si="13"/>
        <v>-19836.66</v>
      </c>
    </row>
    <row r="35" spans="2:29" x14ac:dyDescent="0.25">
      <c r="B35" s="2" t="s">
        <v>31</v>
      </c>
      <c r="D35" s="26">
        <f>SUM(D29:D34)</f>
        <v>0</v>
      </c>
      <c r="E35" s="26">
        <f>SUM(E29:E34)</f>
        <v>0</v>
      </c>
      <c r="F35" s="26">
        <f>D35+E35</f>
        <v>0</v>
      </c>
      <c r="H35" s="26">
        <f>SUM(H29:H34)</f>
        <v>-9000</v>
      </c>
      <c r="I35" s="26">
        <f>SUM(I29:I34)</f>
        <v>0</v>
      </c>
      <c r="J35" s="26">
        <f>H35+I35</f>
        <v>-9000</v>
      </c>
      <c r="L35" s="26">
        <f>SUM(L29:L34)</f>
        <v>-40000</v>
      </c>
      <c r="M35" s="26">
        <f>SUM(M29:M34)</f>
        <v>0</v>
      </c>
      <c r="N35" s="26">
        <f>L35+M35</f>
        <v>-40000</v>
      </c>
      <c r="P35" s="26">
        <f>SUM(P29:P34)</f>
        <v>-188026.66</v>
      </c>
      <c r="Q35" s="26">
        <f>SUM(Q29:Q34)</f>
        <v>0</v>
      </c>
      <c r="R35" s="26">
        <f>P35+Q35</f>
        <v>-188026.66</v>
      </c>
      <c r="S35" s="1"/>
      <c r="T35" s="26">
        <f>SUM(T29:T34)</f>
        <v>-565.5</v>
      </c>
      <c r="U35" s="26">
        <f>SUM(U29:U34)</f>
        <v>0</v>
      </c>
      <c r="V35" s="26">
        <f>T35+U35</f>
        <v>-565.5</v>
      </c>
      <c r="X35" s="26">
        <f t="shared" si="13"/>
        <v>-237592.16</v>
      </c>
      <c r="Y35" s="26">
        <f t="shared" si="13"/>
        <v>0</v>
      </c>
      <c r="Z35" s="26">
        <f t="shared" si="13"/>
        <v>-237592.16</v>
      </c>
    </row>
    <row r="36" spans="2:29" x14ac:dyDescent="0.25">
      <c r="N36" s="1"/>
      <c r="R36" s="1"/>
      <c r="S36" s="1"/>
      <c r="V36" s="1"/>
    </row>
    <row r="37" spans="2:29" x14ac:dyDescent="0.25">
      <c r="B37" s="5" t="s">
        <v>10</v>
      </c>
      <c r="L37" s="1"/>
      <c r="M37" s="1"/>
      <c r="N37" s="1"/>
      <c r="P37" s="1"/>
      <c r="Q37" s="1"/>
      <c r="R37" s="1"/>
      <c r="S37" s="1"/>
      <c r="T37" s="1"/>
      <c r="U37" s="1"/>
      <c r="V37" s="1"/>
    </row>
    <row r="38" spans="2:29" ht="15.75" thickBot="1" x14ac:dyDescent="0.3">
      <c r="B38" s="2" t="s">
        <v>79</v>
      </c>
      <c r="L38" s="1"/>
      <c r="M38" s="1"/>
      <c r="N38" s="1"/>
      <c r="P38" s="9">
        <v>0</v>
      </c>
      <c r="Q38" s="8">
        <f>-T38</f>
        <v>19434.5</v>
      </c>
      <c r="R38" s="8">
        <f>P38+Q38</f>
        <v>19434.5</v>
      </c>
      <c r="S38" s="1"/>
      <c r="T38" s="9">
        <f>565.5-20000</f>
        <v>-19434.5</v>
      </c>
      <c r="U38" s="9">
        <v>0</v>
      </c>
      <c r="V38" s="8">
        <f>T38+U38</f>
        <v>-19434.5</v>
      </c>
      <c r="X38" s="8">
        <f t="shared" ref="X38:Z39" si="14">D38+H38+L38+P38+T38</f>
        <v>-19434.5</v>
      </c>
      <c r="Y38" s="8">
        <f t="shared" si="14"/>
        <v>19434.5</v>
      </c>
      <c r="Z38" s="8">
        <f t="shared" si="14"/>
        <v>0</v>
      </c>
    </row>
    <row r="39" spans="2:29" x14ac:dyDescent="0.25">
      <c r="B39" s="2" t="s">
        <v>32</v>
      </c>
      <c r="D39" s="26">
        <f>SUM(D38:D38)</f>
        <v>0</v>
      </c>
      <c r="E39" s="26">
        <f>SUM(E38:E38)</f>
        <v>0</v>
      </c>
      <c r="F39" s="26">
        <f>D39+E39</f>
        <v>0</v>
      </c>
      <c r="H39" s="26">
        <f>SUM(H38:H38)</f>
        <v>0</v>
      </c>
      <c r="I39" s="26">
        <f>SUM(I38:I38)</f>
        <v>0</v>
      </c>
      <c r="J39" s="26">
        <f>SUM(J37:J38)</f>
        <v>0</v>
      </c>
      <c r="L39" s="26">
        <f>SUM(L38:L38)</f>
        <v>0</v>
      </c>
      <c r="M39" s="26">
        <f>SUM(M38:M38)</f>
        <v>0</v>
      </c>
      <c r="N39" s="26">
        <f>L39+M39</f>
        <v>0</v>
      </c>
      <c r="P39" s="26">
        <f>SUM(P38:P38)</f>
        <v>0</v>
      </c>
      <c r="Q39" s="26">
        <f>SUM(Q38:Q38)</f>
        <v>19434.5</v>
      </c>
      <c r="R39" s="26">
        <f>P39+Q39</f>
        <v>19434.5</v>
      </c>
      <c r="S39" s="1"/>
      <c r="T39" s="26">
        <f>SUM(T38:T38)</f>
        <v>-19434.5</v>
      </c>
      <c r="U39" s="26">
        <f>SUM(U38:U38)</f>
        <v>0</v>
      </c>
      <c r="V39" s="26">
        <f>T39+U39</f>
        <v>-19434.5</v>
      </c>
      <c r="X39" s="26">
        <f t="shared" si="14"/>
        <v>-19434.5</v>
      </c>
      <c r="Y39" s="26">
        <f t="shared" si="14"/>
        <v>19434.5</v>
      </c>
      <c r="Z39" s="26">
        <f t="shared" si="14"/>
        <v>0</v>
      </c>
    </row>
    <row r="40" spans="2:29" x14ac:dyDescent="0.25">
      <c r="B40" s="2"/>
      <c r="D40" s="1"/>
      <c r="E40" s="1"/>
      <c r="F40" s="1"/>
      <c r="H40" s="1"/>
      <c r="L40" s="1"/>
      <c r="M40" s="1"/>
      <c r="N40" s="1"/>
    </row>
    <row r="41" spans="2:29" x14ac:dyDescent="0.25">
      <c r="B41" s="2" t="s">
        <v>568</v>
      </c>
      <c r="D41" s="8">
        <f>D7+D15+D19+D26+D35+D39</f>
        <v>0</v>
      </c>
      <c r="E41" s="8">
        <f>E7+E15+E19+E26+E35+E39</f>
        <v>46589.46</v>
      </c>
      <c r="F41" s="8">
        <f>D41+E41</f>
        <v>46589.46</v>
      </c>
      <c r="H41" s="8">
        <f>H7+H15+H19+H26+H35+H39</f>
        <v>23000</v>
      </c>
      <c r="I41" s="8">
        <f>I7+I15+I19+I26+I35+I39</f>
        <v>14589.46</v>
      </c>
      <c r="J41" s="8">
        <f>H41+I41</f>
        <v>37589.46</v>
      </c>
      <c r="L41" s="8">
        <f>L7+L15+L19+L26+L35+L39</f>
        <v>0</v>
      </c>
      <c r="M41" s="8">
        <f>M7+M15+M19+M26+M35+M39</f>
        <v>6589.4599999999991</v>
      </c>
      <c r="N41" s="8">
        <f>L41+M41</f>
        <v>6589.4599999999991</v>
      </c>
      <c r="P41" s="8">
        <f>P7+P15+P19+P26+P35+P39</f>
        <v>30663.339999999997</v>
      </c>
      <c r="Q41" s="8">
        <f>Q7+Q15+Q19+Q26+Q35+Q39</f>
        <v>106870.68000000005</v>
      </c>
      <c r="R41" s="8">
        <f>P41+Q41</f>
        <v>137534.02000000005</v>
      </c>
      <c r="T41" s="8">
        <f>T7+T15+T19+T26+T35+T39</f>
        <v>0</v>
      </c>
      <c r="U41" s="8">
        <f>U7+U15+U19+U26+U35+U39</f>
        <v>0</v>
      </c>
      <c r="V41" s="8">
        <f>T41+U41</f>
        <v>0</v>
      </c>
      <c r="X41" s="8">
        <f>D41+H41+L41+P41+T41</f>
        <v>53663.34</v>
      </c>
      <c r="Y41" s="8">
        <f>E41+I41+M41+Q41+U41</f>
        <v>174639.06000000006</v>
      </c>
      <c r="Z41" s="8">
        <f>F41+J41+N41+R41+V41</f>
        <v>228302.40000000005</v>
      </c>
      <c r="AC41" s="1"/>
    </row>
    <row r="42" spans="2:29" x14ac:dyDescent="0.25">
      <c r="B42" s="2"/>
      <c r="D42" s="1"/>
      <c r="E42" s="1"/>
      <c r="F42" s="1"/>
      <c r="H42" s="1"/>
      <c r="L42" s="1"/>
      <c r="M42" s="1"/>
      <c r="N42" s="1"/>
      <c r="Z42" s="1"/>
    </row>
    <row r="43" spans="2:29" x14ac:dyDescent="0.25">
      <c r="B43" s="5" t="s">
        <v>569</v>
      </c>
      <c r="C43" s="2"/>
    </row>
    <row r="44" spans="2:29" ht="15.75" thickBot="1" x14ac:dyDescent="0.3">
      <c r="B44" s="2" t="s">
        <v>244</v>
      </c>
      <c r="C44" s="2"/>
      <c r="D44" s="9">
        <v>0</v>
      </c>
      <c r="E44" s="9">
        <v>0</v>
      </c>
      <c r="F44" s="8">
        <f>D44+E44</f>
        <v>0</v>
      </c>
      <c r="H44" s="9">
        <v>0</v>
      </c>
      <c r="I44" s="9">
        <v>0</v>
      </c>
      <c r="J44" s="8">
        <f>H44+I44</f>
        <v>0</v>
      </c>
      <c r="L44" s="9">
        <v>0</v>
      </c>
      <c r="M44" s="9">
        <v>0</v>
      </c>
      <c r="N44" s="8">
        <f>L44+M44</f>
        <v>0</v>
      </c>
      <c r="P44" s="9">
        <v>0</v>
      </c>
      <c r="Q44" s="9">
        <v>0</v>
      </c>
      <c r="R44" s="8">
        <f>P44+Q44</f>
        <v>0</v>
      </c>
      <c r="S44" s="1"/>
      <c r="T44" s="9">
        <v>0</v>
      </c>
      <c r="U44" s="9">
        <v>0</v>
      </c>
      <c r="V44" s="8">
        <f>T44+U44</f>
        <v>0</v>
      </c>
      <c r="X44" s="8">
        <f t="shared" ref="X44:Z45" si="15">D44+H44+L44+P44+T44</f>
        <v>0</v>
      </c>
      <c r="Y44" s="8">
        <f t="shared" si="15"/>
        <v>0</v>
      </c>
      <c r="Z44" s="8">
        <f t="shared" si="15"/>
        <v>0</v>
      </c>
    </row>
    <row r="45" spans="2:29" x14ac:dyDescent="0.25">
      <c r="B45" s="2" t="s">
        <v>570</v>
      </c>
      <c r="C45" s="2"/>
      <c r="D45" s="26">
        <f>SUM(D44:D44)</f>
        <v>0</v>
      </c>
      <c r="E45" s="26">
        <f>SUM(E44:E44)</f>
        <v>0</v>
      </c>
      <c r="F45" s="26">
        <f>D45+E45</f>
        <v>0</v>
      </c>
      <c r="H45" s="26">
        <f>SUM(H44:H44)</f>
        <v>0</v>
      </c>
      <c r="I45" s="26">
        <f>SUM(I44:I44)</f>
        <v>0</v>
      </c>
      <c r="J45" s="26">
        <f>H45+I45</f>
        <v>0</v>
      </c>
      <c r="L45" s="26">
        <f>SUM(L44:L44)</f>
        <v>0</v>
      </c>
      <c r="M45" s="26">
        <f>SUM(M44:M44)</f>
        <v>0</v>
      </c>
      <c r="N45" s="26">
        <f>L45+M45</f>
        <v>0</v>
      </c>
      <c r="P45" s="26">
        <f>SUM(P44:P44)</f>
        <v>0</v>
      </c>
      <c r="Q45" s="26">
        <f>SUM(Q44:Q44)</f>
        <v>0</v>
      </c>
      <c r="R45" s="26">
        <f>P45+Q45</f>
        <v>0</v>
      </c>
      <c r="S45" s="1"/>
      <c r="T45" s="26">
        <f>SUM(T44:T44)</f>
        <v>0</v>
      </c>
      <c r="U45" s="26">
        <f>SUM(U44:U44)</f>
        <v>0</v>
      </c>
      <c r="V45" s="26">
        <f>T45+U45</f>
        <v>0</v>
      </c>
      <c r="X45" s="26">
        <f t="shared" si="15"/>
        <v>0</v>
      </c>
      <c r="Y45" s="26">
        <f t="shared" si="15"/>
        <v>0</v>
      </c>
      <c r="Z45" s="26">
        <f t="shared" si="15"/>
        <v>0</v>
      </c>
    </row>
    <row r="46" spans="2:29" x14ac:dyDescent="0.25">
      <c r="L46" s="1"/>
      <c r="M46" s="1"/>
      <c r="N46" s="1"/>
      <c r="P46" s="1"/>
      <c r="Q46" s="1"/>
      <c r="R46" s="1"/>
      <c r="S46" s="1"/>
      <c r="T46" s="1"/>
      <c r="U46" s="1"/>
      <c r="V46" s="1"/>
      <c r="X46" s="1"/>
      <c r="Y46" s="1"/>
      <c r="Z46" s="1"/>
    </row>
    <row r="47" spans="2:29" ht="15.75" thickBot="1" x14ac:dyDescent="0.3">
      <c r="B47" s="2" t="s">
        <v>571</v>
      </c>
      <c r="C47" s="2"/>
      <c r="D47" s="17">
        <f>ROUND(D41+D45,2)</f>
        <v>0</v>
      </c>
      <c r="E47" s="17">
        <f>ROUND(E41+E45,2)</f>
        <v>46589.46</v>
      </c>
      <c r="F47" s="17">
        <f>D47+E47</f>
        <v>46589.46</v>
      </c>
      <c r="H47" s="17">
        <f>ROUND(H41+H45,2)</f>
        <v>23000</v>
      </c>
      <c r="I47" s="17">
        <f>ROUND(I41+I45,2)</f>
        <v>14589.46</v>
      </c>
      <c r="J47" s="17">
        <f>H47+I47</f>
        <v>37589.46</v>
      </c>
      <c r="L47" s="17">
        <f>ROUND(L41+L45,2)</f>
        <v>0</v>
      </c>
      <c r="M47" s="17">
        <f>ROUND(M41+M45,2)</f>
        <v>6589.46</v>
      </c>
      <c r="N47" s="17">
        <f>L47+M47</f>
        <v>6589.46</v>
      </c>
      <c r="P47" s="17">
        <f>ROUND(P41+P45,2)</f>
        <v>30663.34</v>
      </c>
      <c r="Q47" s="17">
        <f>ROUND(Q41+Q45,2)</f>
        <v>106870.68</v>
      </c>
      <c r="R47" s="17">
        <f>P47+Q47</f>
        <v>137534.01999999999</v>
      </c>
      <c r="T47" s="17">
        <f>ROUND(T41+T45,2)</f>
        <v>0</v>
      </c>
      <c r="U47" s="17">
        <f>ROUND(U41+U45,2)</f>
        <v>0</v>
      </c>
      <c r="V47" s="17">
        <f>T47+U47</f>
        <v>0</v>
      </c>
      <c r="X47" s="17">
        <f>D47+H47+L47+P47+T47</f>
        <v>53663.34</v>
      </c>
      <c r="Y47" s="17">
        <f>E47+I47+M47+Q47+U47</f>
        <v>174639.06</v>
      </c>
      <c r="Z47" s="17">
        <f>F47+J47+N47+R47+V47</f>
        <v>228302.4</v>
      </c>
    </row>
    <row r="48" spans="2:29" ht="15.75" thickTop="1" x14ac:dyDescent="0.25"/>
    <row r="49" spans="1:26" x14ac:dyDescent="0.25">
      <c r="D49" s="1"/>
      <c r="I49" s="1"/>
    </row>
    <row r="50" spans="1:26" x14ac:dyDescent="0.25">
      <c r="A50" s="35" t="s">
        <v>54</v>
      </c>
      <c r="B50" s="35"/>
      <c r="C50" s="19"/>
      <c r="H50" s="1"/>
      <c r="M50" s="1"/>
    </row>
    <row r="52" spans="1:26" x14ac:dyDescent="0.25">
      <c r="B52" s="5" t="s">
        <v>572</v>
      </c>
      <c r="C52" s="5"/>
    </row>
    <row r="53" spans="1:26" x14ac:dyDescent="0.25">
      <c r="B53" s="2" t="s">
        <v>751</v>
      </c>
      <c r="D53" s="9">
        <v>0</v>
      </c>
      <c r="E53" s="9">
        <f>460000/10</f>
        <v>46000</v>
      </c>
      <c r="F53" s="8">
        <f>D53+E53</f>
        <v>46000</v>
      </c>
      <c r="H53" s="9">
        <v>0</v>
      </c>
      <c r="I53" s="9">
        <f>460000/10</f>
        <v>46000</v>
      </c>
      <c r="J53" s="8">
        <f>H53+I53</f>
        <v>46000</v>
      </c>
      <c r="L53" s="9">
        <v>0</v>
      </c>
      <c r="M53" s="9">
        <f>460000/10</f>
        <v>46000</v>
      </c>
      <c r="N53" s="8">
        <f>L53+M53</f>
        <v>46000</v>
      </c>
      <c r="P53" s="9">
        <v>0</v>
      </c>
      <c r="Q53" s="9">
        <f>460000-E53-I53-M53</f>
        <v>322000</v>
      </c>
      <c r="R53" s="8">
        <f>P53+Q53</f>
        <v>322000</v>
      </c>
      <c r="T53" s="1"/>
      <c r="U53" s="1"/>
      <c r="V53" s="1"/>
      <c r="X53" s="8">
        <f t="shared" ref="X53:Z55" si="16">D53+H53+L53+P53+T53</f>
        <v>0</v>
      </c>
      <c r="Y53" s="8">
        <f t="shared" si="16"/>
        <v>460000</v>
      </c>
      <c r="Z53" s="8">
        <f t="shared" si="16"/>
        <v>460000</v>
      </c>
    </row>
    <row r="54" spans="1:26" ht="15.75" thickBot="1" x14ac:dyDescent="0.3">
      <c r="B54" s="2" t="s">
        <v>573</v>
      </c>
      <c r="D54" s="14">
        <v>0</v>
      </c>
      <c r="E54" s="14">
        <f>460000/10</f>
        <v>46000</v>
      </c>
      <c r="F54" s="15">
        <f>D54+E54</f>
        <v>46000</v>
      </c>
      <c r="H54" s="14">
        <v>0</v>
      </c>
      <c r="I54" s="14">
        <f>460000/10</f>
        <v>46000</v>
      </c>
      <c r="J54" s="15">
        <f>H54+I54</f>
        <v>46000</v>
      </c>
      <c r="L54" s="14">
        <v>0</v>
      </c>
      <c r="M54" s="14">
        <f>460000/10</f>
        <v>46000</v>
      </c>
      <c r="N54" s="15">
        <f>L54+M54</f>
        <v>46000</v>
      </c>
      <c r="P54" s="14">
        <v>0</v>
      </c>
      <c r="Q54" s="9">
        <f>460000-E54-I54-M54</f>
        <v>322000</v>
      </c>
      <c r="R54" s="15">
        <f>P54+Q54</f>
        <v>322000</v>
      </c>
      <c r="X54" s="15">
        <f t="shared" si="16"/>
        <v>0</v>
      </c>
      <c r="Y54" s="15">
        <f t="shared" si="16"/>
        <v>460000</v>
      </c>
      <c r="Z54" s="15">
        <f t="shared" si="16"/>
        <v>460000</v>
      </c>
    </row>
    <row r="55" spans="1:26" x14ac:dyDescent="0.25">
      <c r="B55" s="2" t="s">
        <v>574</v>
      </c>
      <c r="C55" s="2"/>
      <c r="D55" s="26">
        <f>SUM(D53:D54)</f>
        <v>0</v>
      </c>
      <c r="E55" s="26">
        <f>SUM(E53:E54)</f>
        <v>92000</v>
      </c>
      <c r="F55" s="26">
        <f>D55+E55</f>
        <v>92000</v>
      </c>
      <c r="H55" s="26">
        <f>SUM(H53:H54)</f>
        <v>0</v>
      </c>
      <c r="I55" s="26">
        <f>SUM(I53:I54)</f>
        <v>92000</v>
      </c>
      <c r="J55" s="26">
        <f>H55+I55</f>
        <v>92000</v>
      </c>
      <c r="L55" s="26">
        <f>SUM(L53:L54)</f>
        <v>0</v>
      </c>
      <c r="M55" s="26">
        <f>SUM(M53:M54)</f>
        <v>92000</v>
      </c>
      <c r="N55" s="26">
        <f>L55+M55</f>
        <v>92000</v>
      </c>
      <c r="P55" s="26">
        <f>SUM(P53:P54)</f>
        <v>0</v>
      </c>
      <c r="Q55" s="26">
        <f>SUM(Q53:Q54)</f>
        <v>644000</v>
      </c>
      <c r="R55" s="26">
        <f>P55+Q55</f>
        <v>644000</v>
      </c>
      <c r="S55" s="1"/>
      <c r="T55" s="26">
        <f>SUM(T53:T54)</f>
        <v>0</v>
      </c>
      <c r="U55" s="26">
        <f>SUM(U53:U54)</f>
        <v>0</v>
      </c>
      <c r="V55" s="26">
        <f>T55+U55</f>
        <v>0</v>
      </c>
      <c r="X55" s="26">
        <f t="shared" si="16"/>
        <v>0</v>
      </c>
      <c r="Y55" s="26">
        <f t="shared" si="16"/>
        <v>920000</v>
      </c>
      <c r="Z55" s="26">
        <f t="shared" si="16"/>
        <v>920000</v>
      </c>
    </row>
    <row r="56" spans="1:26" x14ac:dyDescent="0.25">
      <c r="B56" s="2"/>
      <c r="C56" s="2"/>
    </row>
    <row r="57" spans="1:26" x14ac:dyDescent="0.25">
      <c r="B57" s="5" t="s">
        <v>575</v>
      </c>
      <c r="C57" s="5"/>
      <c r="Q57" s="1"/>
    </row>
    <row r="58" spans="1:26" x14ac:dyDescent="0.25">
      <c r="B58" s="2" t="s">
        <v>87</v>
      </c>
      <c r="C58" s="2"/>
      <c r="H58" s="1"/>
      <c r="I58" s="1"/>
      <c r="J58" s="1"/>
      <c r="L58" s="1"/>
      <c r="M58" s="1"/>
      <c r="N58" s="1"/>
      <c r="P58" s="9">
        <v>0</v>
      </c>
      <c r="Q58" s="8">
        <f>-T58</f>
        <v>-46000</v>
      </c>
      <c r="R58" s="8">
        <f>P58+Q58</f>
        <v>-46000</v>
      </c>
      <c r="T58" s="9">
        <v>46000</v>
      </c>
      <c r="U58" s="9">
        <v>0</v>
      </c>
      <c r="V58" s="8">
        <f>T58+U58</f>
        <v>46000</v>
      </c>
      <c r="X58" s="8">
        <f t="shared" ref="X58:Z59" si="17">D58+H58+L58+P58+T58</f>
        <v>46000</v>
      </c>
      <c r="Y58" s="8">
        <f t="shared" si="17"/>
        <v>-46000</v>
      </c>
      <c r="Z58" s="8">
        <f t="shared" si="17"/>
        <v>0</v>
      </c>
    </row>
    <row r="59" spans="1:26" x14ac:dyDescent="0.25">
      <c r="B59" s="2" t="s">
        <v>576</v>
      </c>
      <c r="C59" s="2"/>
      <c r="D59" s="13">
        <f>SUM(D58:D58)</f>
        <v>0</v>
      </c>
      <c r="E59" s="13">
        <f>SUM(E58:E58)</f>
        <v>0</v>
      </c>
      <c r="F59" s="13">
        <f>D59+E59</f>
        <v>0</v>
      </c>
      <c r="H59" s="13">
        <f>SUM(H58:H58)</f>
        <v>0</v>
      </c>
      <c r="I59" s="13">
        <f>SUM(I58:I58)</f>
        <v>0</v>
      </c>
      <c r="J59" s="13">
        <f>H59+I59</f>
        <v>0</v>
      </c>
      <c r="L59" s="13">
        <f>SUM(L58:L58)</f>
        <v>0</v>
      </c>
      <c r="M59" s="13">
        <f>SUM(M58:M58)</f>
        <v>0</v>
      </c>
      <c r="N59" s="13">
        <f>L59+M59</f>
        <v>0</v>
      </c>
      <c r="P59" s="13">
        <f>SUM(P58:P58)</f>
        <v>0</v>
      </c>
      <c r="Q59" s="13">
        <f>SUM(Q58:Q58)</f>
        <v>-46000</v>
      </c>
      <c r="R59" s="13">
        <f>P59+Q59</f>
        <v>-46000</v>
      </c>
      <c r="T59" s="13">
        <f>SUM(T58:T58)</f>
        <v>46000</v>
      </c>
      <c r="U59" s="13">
        <f>SUM(U58:U58)</f>
        <v>0</v>
      </c>
      <c r="V59" s="13">
        <f>T59+U59</f>
        <v>46000</v>
      </c>
      <c r="X59" s="13">
        <f t="shared" si="17"/>
        <v>46000</v>
      </c>
      <c r="Y59" s="13">
        <f t="shared" si="17"/>
        <v>-46000</v>
      </c>
      <c r="Z59" s="13">
        <f t="shared" si="17"/>
        <v>0</v>
      </c>
    </row>
    <row r="60" spans="1:26" x14ac:dyDescent="0.25">
      <c r="B60" s="2"/>
      <c r="C60" s="2"/>
    </row>
    <row r="61" spans="1:26" x14ac:dyDescent="0.25">
      <c r="B61" s="2" t="s">
        <v>577</v>
      </c>
      <c r="C61" s="2"/>
      <c r="D61" s="8">
        <f>D55+D59</f>
        <v>0</v>
      </c>
      <c r="E61" s="8">
        <f>E55+E59</f>
        <v>92000</v>
      </c>
      <c r="F61" s="8">
        <f>D61+E61</f>
        <v>92000</v>
      </c>
      <c r="H61" s="8">
        <f>H55+H59</f>
        <v>0</v>
      </c>
      <c r="I61" s="8">
        <f>I55+I59</f>
        <v>92000</v>
      </c>
      <c r="J61" s="8">
        <f>H61+I61</f>
        <v>92000</v>
      </c>
      <c r="L61" s="8">
        <f>L55+L59</f>
        <v>0</v>
      </c>
      <c r="M61" s="8">
        <f>M55+M59</f>
        <v>92000</v>
      </c>
      <c r="N61" s="8">
        <f>L61+M61</f>
        <v>92000</v>
      </c>
      <c r="P61" s="8">
        <f>P55+P59</f>
        <v>0</v>
      </c>
      <c r="Q61" s="8">
        <f>Q55+Q59</f>
        <v>598000</v>
      </c>
      <c r="R61" s="8">
        <f>P61+Q61</f>
        <v>598000</v>
      </c>
      <c r="T61" s="8">
        <f>T55+T59</f>
        <v>46000</v>
      </c>
      <c r="U61" s="8">
        <f>U55+U59</f>
        <v>0</v>
      </c>
      <c r="V61" s="8">
        <f>T61+U61</f>
        <v>46000</v>
      </c>
      <c r="X61" s="8">
        <f>D61+H61+L61+P61+T61</f>
        <v>46000</v>
      </c>
      <c r="Y61" s="8">
        <f>E61+I61+M61+Q61+U61</f>
        <v>874000</v>
      </c>
      <c r="Z61" s="8">
        <f>F61+J61+N61+R61+V61</f>
        <v>920000</v>
      </c>
    </row>
    <row r="62" spans="1:26" x14ac:dyDescent="0.25">
      <c r="B62" s="2"/>
      <c r="C62" s="2"/>
    </row>
    <row r="63" spans="1:26" x14ac:dyDescent="0.25">
      <c r="Q63" s="1"/>
    </row>
    <row r="64" spans="1:26" x14ac:dyDescent="0.25">
      <c r="D64" t="s">
        <v>72</v>
      </c>
    </row>
    <row r="65" spans="4:18" x14ac:dyDescent="0.25">
      <c r="D65" s="2"/>
      <c r="Q65" s="1"/>
    </row>
    <row r="66" spans="4:18" x14ac:dyDescent="0.25">
      <c r="D66" s="2" t="s">
        <v>58</v>
      </c>
      <c r="E66" t="s">
        <v>578</v>
      </c>
    </row>
    <row r="67" spans="4:18" x14ac:dyDescent="0.25">
      <c r="D67" s="2"/>
      <c r="E67" t="s">
        <v>579</v>
      </c>
    </row>
    <row r="68" spans="4:18" x14ac:dyDescent="0.25">
      <c r="D68" s="2"/>
    </row>
    <row r="69" spans="4:18" x14ac:dyDescent="0.25">
      <c r="D69" s="2"/>
    </row>
    <row r="71" spans="4:18" x14ac:dyDescent="0.25">
      <c r="D71" t="s">
        <v>580</v>
      </c>
    </row>
    <row r="73" spans="4:18" x14ac:dyDescent="0.25">
      <c r="D73" s="36" t="s">
        <v>3</v>
      </c>
      <c r="E73" s="36"/>
      <c r="F73" s="36"/>
      <c r="H73" s="36" t="s">
        <v>4</v>
      </c>
      <c r="I73" s="36"/>
      <c r="J73" s="36"/>
      <c r="L73" s="36" t="s">
        <v>2</v>
      </c>
      <c r="M73" s="36"/>
      <c r="N73" s="36"/>
      <c r="P73" s="36" t="s">
        <v>13</v>
      </c>
      <c r="Q73" s="36"/>
      <c r="R73" s="36"/>
    </row>
    <row r="74" spans="4:18" x14ac:dyDescent="0.25">
      <c r="D74" s="6"/>
      <c r="E74" s="6"/>
      <c r="F74" s="6"/>
      <c r="H74" s="6"/>
      <c r="I74" s="6"/>
      <c r="J74" s="6"/>
    </row>
    <row r="75" spans="4:18" x14ac:dyDescent="0.25">
      <c r="E75" s="6" t="s">
        <v>110</v>
      </c>
      <c r="F75" s="6" t="s">
        <v>111</v>
      </c>
      <c r="I75" s="6" t="s">
        <v>110</v>
      </c>
      <c r="J75" s="6" t="s">
        <v>111</v>
      </c>
      <c r="M75" s="6" t="s">
        <v>110</v>
      </c>
      <c r="N75" s="6" t="s">
        <v>111</v>
      </c>
      <c r="Q75" s="6" t="s">
        <v>110</v>
      </c>
      <c r="R75" s="6" t="s">
        <v>111</v>
      </c>
    </row>
    <row r="76" spans="4:18" x14ac:dyDescent="0.25">
      <c r="E76" s="6"/>
      <c r="F76" s="6"/>
    </row>
    <row r="77" spans="4:18" x14ac:dyDescent="0.25">
      <c r="E77" s="2" t="s">
        <v>113</v>
      </c>
      <c r="F77" s="13">
        <v>0</v>
      </c>
      <c r="I77" s="2" t="s">
        <v>113</v>
      </c>
      <c r="J77" s="13">
        <v>0</v>
      </c>
      <c r="M77" s="2" t="s">
        <v>113</v>
      </c>
      <c r="N77" s="13">
        <v>0</v>
      </c>
      <c r="Q77" s="2" t="s">
        <v>113</v>
      </c>
      <c r="R77" s="13">
        <v>0</v>
      </c>
    </row>
    <row r="78" spans="4:18" x14ac:dyDescent="0.25">
      <c r="Q78" s="2"/>
    </row>
  </sheetData>
  <mergeCells count="11">
    <mergeCell ref="X4:Z4"/>
    <mergeCell ref="A50:B50"/>
    <mergeCell ref="D73:F73"/>
    <mergeCell ref="H73:J73"/>
    <mergeCell ref="L73:N73"/>
    <mergeCell ref="P73:R73"/>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dimension ref="B2:C14"/>
  <sheetViews>
    <sheetView workbookViewId="0">
      <selection activeCell="C16" sqref="C16"/>
    </sheetView>
  </sheetViews>
  <sheetFormatPr defaultRowHeight="15" x14ac:dyDescent="0.25"/>
  <cols>
    <col min="1" max="18" width="12.7109375" customWidth="1"/>
  </cols>
  <sheetData>
    <row r="2" spans="2:3" x14ac:dyDescent="0.25">
      <c r="B2" t="s">
        <v>108</v>
      </c>
    </row>
    <row r="4" spans="2:3" x14ac:dyDescent="0.25">
      <c r="B4" s="2" t="s">
        <v>58</v>
      </c>
      <c r="C4" t="s">
        <v>198</v>
      </c>
    </row>
    <row r="5" spans="2:3" x14ac:dyDescent="0.25">
      <c r="B5" s="2" t="s">
        <v>60</v>
      </c>
      <c r="C5" t="s">
        <v>199</v>
      </c>
    </row>
    <row r="6" spans="2:3" x14ac:dyDescent="0.25">
      <c r="B6" s="2" t="s">
        <v>109</v>
      </c>
      <c r="C6" t="s">
        <v>200</v>
      </c>
    </row>
    <row r="7" spans="2:3" x14ac:dyDescent="0.25">
      <c r="B7" s="2" t="s">
        <v>119</v>
      </c>
      <c r="C7" t="s">
        <v>201</v>
      </c>
    </row>
    <row r="8" spans="2:3" x14ac:dyDescent="0.25">
      <c r="B8" s="2" t="s">
        <v>120</v>
      </c>
      <c r="C8" t="s">
        <v>273</v>
      </c>
    </row>
    <row r="9" spans="2:3" x14ac:dyDescent="0.25">
      <c r="B9" s="2" t="s">
        <v>121</v>
      </c>
      <c r="C9" t="s">
        <v>202</v>
      </c>
    </row>
    <row r="10" spans="2:3" x14ac:dyDescent="0.25">
      <c r="B10" s="2" t="s">
        <v>125</v>
      </c>
      <c r="C10" t="s">
        <v>649</v>
      </c>
    </row>
    <row r="11" spans="2:3" x14ac:dyDescent="0.25">
      <c r="B11" s="2" t="s">
        <v>126</v>
      </c>
      <c r="C11" t="s">
        <v>791</v>
      </c>
    </row>
    <row r="13" spans="2:3" x14ac:dyDescent="0.25">
      <c r="B13" s="2" t="s">
        <v>203</v>
      </c>
      <c r="C13" t="s">
        <v>204</v>
      </c>
    </row>
    <row r="14" spans="2:3" x14ac:dyDescent="0.25">
      <c r="C14" t="s">
        <v>205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2:AD153"/>
  <sheetViews>
    <sheetView zoomScaleNormal="100" workbookViewId="0">
      <pane xSplit="2" ySplit="6" topLeftCell="R7" activePane="bottomRight" state="frozen"/>
      <selection activeCell="G1" sqref="G1"/>
      <selection pane="topRight" activeCell="G1" sqref="G1"/>
      <selection pane="bottomLeft" activeCell="G1" sqref="G1"/>
      <selection pane="bottomRight" activeCell="Z14" sqref="Z14"/>
    </sheetView>
  </sheetViews>
  <sheetFormatPr defaultRowHeight="15" x14ac:dyDescent="0.25"/>
  <cols>
    <col min="1" max="3" width="12.7109375" customWidth="1"/>
    <col min="4" max="4" width="14.28515625" customWidth="1"/>
    <col min="5" max="5" width="14.5703125" customWidth="1"/>
    <col min="6" max="6" width="14.140625" customWidth="1"/>
    <col min="7" max="7" width="2.7109375" customWidth="1"/>
    <col min="8" max="8" width="12.7109375" customWidth="1"/>
    <col min="9" max="9" width="14.7109375" customWidth="1"/>
    <col min="10" max="10" width="12.7109375" customWidth="1"/>
    <col min="11" max="11" width="2.7109375" customWidth="1"/>
    <col min="12" max="12" width="12.7109375" customWidth="1"/>
    <col min="13" max="13" width="14.28515625" customWidth="1"/>
    <col min="14" max="14" width="12.7109375" customWidth="1"/>
    <col min="15" max="15" width="2.7109375" customWidth="1"/>
    <col min="16" max="16" width="14.7109375" customWidth="1"/>
    <col min="17" max="17" width="14.42578125" customWidth="1"/>
    <col min="18" max="18" width="14.7109375" customWidth="1"/>
    <col min="19" max="19" width="2.7109375" customWidth="1"/>
    <col min="20" max="22" width="12.7109375" customWidth="1"/>
    <col min="23" max="23" width="2.7109375" customWidth="1"/>
    <col min="24" max="26" width="14.7109375" customWidth="1"/>
    <col min="27" max="27" width="12.85546875" bestFit="1" customWidth="1"/>
    <col min="28" max="28" width="15.140625" customWidth="1"/>
    <col min="29" max="29" width="13.5703125" customWidth="1"/>
    <col min="30" max="30" width="12.7109375" customWidth="1"/>
  </cols>
  <sheetData>
    <row r="2" spans="2:30" x14ac:dyDescent="0.25">
      <c r="D2" t="s">
        <v>880</v>
      </c>
    </row>
    <row r="4" spans="2:30"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30"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30" x14ac:dyDescent="0.25">
      <c r="B7" s="2" t="s">
        <v>772</v>
      </c>
      <c r="C7" s="2"/>
      <c r="D7" s="8">
        <f>ROUND('FY24'!D90,2)</f>
        <v>408323.5</v>
      </c>
      <c r="E7" s="8">
        <f>ROUND('FY24'!E90,2)</f>
        <v>167613.97</v>
      </c>
      <c r="F7" s="8">
        <f>D7+E7</f>
        <v>575937.47</v>
      </c>
      <c r="H7" s="8">
        <f>ROUND('FY24'!H90,2)</f>
        <v>96857.35</v>
      </c>
      <c r="I7" s="8">
        <f>ROUND('FY24'!I90,2)</f>
        <v>327588.42</v>
      </c>
      <c r="J7" s="8">
        <f>H7+I7</f>
        <v>424445.77</v>
      </c>
      <c r="L7" s="8">
        <f>ROUND('FY24'!L90,2)</f>
        <v>33832</v>
      </c>
      <c r="M7" s="8">
        <f>ROUND('FY24'!M90,2)</f>
        <v>24312.15</v>
      </c>
      <c r="N7" s="8">
        <f>L7+M7</f>
        <v>58144.15</v>
      </c>
      <c r="P7" s="8">
        <f>ROUND('FY24'!P90,2)</f>
        <v>447368.85</v>
      </c>
      <c r="Q7" s="8">
        <f>ROUND('FY24'!Q90,2)</f>
        <v>337393.69</v>
      </c>
      <c r="R7" s="8">
        <f>P7+Q7</f>
        <v>784762.54</v>
      </c>
      <c r="T7" s="8">
        <f>ROUND('FY24'!T90,2)</f>
        <v>0</v>
      </c>
      <c r="U7" s="8">
        <f>ROUND('FY24'!U90,2)</f>
        <v>0</v>
      </c>
      <c r="V7" s="8">
        <f>T7+U7</f>
        <v>0</v>
      </c>
      <c r="X7" s="8">
        <f>D7+H7+L7+P7+T7</f>
        <v>986381.7</v>
      </c>
      <c r="Y7" s="8">
        <f>E7+I7+M7+Q7+U7</f>
        <v>856908.23</v>
      </c>
      <c r="Z7" s="8">
        <f>F7+J7+N7+R7+V7</f>
        <v>1843289.93</v>
      </c>
    </row>
    <row r="8" spans="2:30" x14ac:dyDescent="0.25">
      <c r="AD8" s="6"/>
    </row>
    <row r="9" spans="2:30" x14ac:dyDescent="0.25">
      <c r="B9" s="5" t="s">
        <v>11</v>
      </c>
      <c r="C9" s="5"/>
      <c r="T9" s="1"/>
      <c r="U9" s="1"/>
      <c r="V9" s="1"/>
      <c r="AB9" s="6" t="s">
        <v>881</v>
      </c>
      <c r="AC9" s="6" t="s">
        <v>882</v>
      </c>
      <c r="AD9" s="6"/>
    </row>
    <row r="10" spans="2:30" x14ac:dyDescent="0.25">
      <c r="B10" s="2" t="s">
        <v>773</v>
      </c>
      <c r="C10" s="2"/>
      <c r="D10" s="9">
        <v>0</v>
      </c>
      <c r="E10" s="9">
        <f>ROUND(1068987.93/10,2)</f>
        <v>106898.79</v>
      </c>
      <c r="F10" s="8">
        <f t="shared" ref="F10:F15" si="0">D10+E10</f>
        <v>106898.79</v>
      </c>
      <c r="H10" s="9">
        <v>0</v>
      </c>
      <c r="I10" s="9">
        <f>ROUND(1068987.93/10,2)</f>
        <v>106898.79</v>
      </c>
      <c r="J10" s="8">
        <f t="shared" ref="J10:J15" si="1">H10+I10</f>
        <v>106898.79</v>
      </c>
      <c r="L10" s="9">
        <v>0</v>
      </c>
      <c r="M10" s="9">
        <f>ROUND(1068987.93/10,2)</f>
        <v>106898.79</v>
      </c>
      <c r="N10" s="8">
        <f t="shared" ref="N10:N15" si="2">L10+M10</f>
        <v>106898.79</v>
      </c>
      <c r="P10" s="9">
        <v>0</v>
      </c>
      <c r="Q10" s="9">
        <f>1068987.93-E10-I10-M10</f>
        <v>748291.55999999982</v>
      </c>
      <c r="R10" s="8">
        <f t="shared" ref="R10:R15" si="3">P10+Q10</f>
        <v>748291.55999999982</v>
      </c>
      <c r="T10" s="1"/>
      <c r="U10" s="1"/>
      <c r="V10" s="1"/>
      <c r="X10" s="8">
        <f t="shared" ref="X10:Z15" si="4">D10+H10+L10+P10+T10</f>
        <v>0</v>
      </c>
      <c r="Y10" s="8">
        <f t="shared" si="4"/>
        <v>1068987.9299999997</v>
      </c>
      <c r="Z10" s="8">
        <f t="shared" si="4"/>
        <v>1068987.9299999997</v>
      </c>
      <c r="AB10" s="1">
        <v>850000</v>
      </c>
      <c r="AC10" s="1">
        <f t="shared" ref="AC10:AC14" si="5">Z10-AB10</f>
        <v>218987.9299999997</v>
      </c>
      <c r="AD10" s="34">
        <f>AB10/Z10</f>
        <v>0.79514461870490927</v>
      </c>
    </row>
    <row r="11" spans="2:30"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c r="AB11" s="1">
        <v>0</v>
      </c>
      <c r="AC11" s="1">
        <f t="shared" si="5"/>
        <v>0</v>
      </c>
    </row>
    <row r="12" spans="2:30" x14ac:dyDescent="0.25">
      <c r="B12" s="2" t="s">
        <v>699</v>
      </c>
      <c r="C12" s="2"/>
      <c r="D12" s="9">
        <v>0</v>
      </c>
      <c r="E12" s="9">
        <f>ROUND(266397/10,2)</f>
        <v>26639.7</v>
      </c>
      <c r="F12" s="8">
        <f t="shared" si="0"/>
        <v>26639.7</v>
      </c>
      <c r="H12" s="9">
        <v>0</v>
      </c>
      <c r="I12" s="9">
        <f>ROUND(266397/10,2)</f>
        <v>26639.7</v>
      </c>
      <c r="J12" s="8">
        <f t="shared" si="1"/>
        <v>26639.7</v>
      </c>
      <c r="L12" s="9">
        <v>0</v>
      </c>
      <c r="M12" s="9">
        <f>ROUND(266397/10,2)</f>
        <v>26639.7</v>
      </c>
      <c r="N12" s="8">
        <f t="shared" si="2"/>
        <v>26639.7</v>
      </c>
      <c r="P12" s="9">
        <v>0</v>
      </c>
      <c r="Q12" s="9">
        <f>266397-E12-I12-M12</f>
        <v>186477.89999999997</v>
      </c>
      <c r="R12" s="8">
        <f t="shared" si="3"/>
        <v>186477.89999999997</v>
      </c>
      <c r="T12" s="1"/>
      <c r="U12" s="1"/>
      <c r="V12" s="1"/>
      <c r="X12" s="8">
        <f t="shared" si="4"/>
        <v>0</v>
      </c>
      <c r="Y12" s="8">
        <f t="shared" si="4"/>
        <v>266397</v>
      </c>
      <c r="Z12" s="8">
        <f t="shared" si="4"/>
        <v>266397</v>
      </c>
      <c r="AB12" s="1">
        <v>266397</v>
      </c>
      <c r="AC12" s="1">
        <f t="shared" si="5"/>
        <v>0</v>
      </c>
    </row>
    <row r="13" spans="2:30"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c r="AB13" s="1">
        <v>0</v>
      </c>
      <c r="AC13" s="1">
        <f t="shared" si="5"/>
        <v>0</v>
      </c>
    </row>
    <row r="14" spans="2:30" ht="15.75" thickBot="1" x14ac:dyDescent="0.3">
      <c r="B14" s="2" t="s">
        <v>774</v>
      </c>
      <c r="C14" s="2"/>
      <c r="D14" s="9">
        <v>0</v>
      </c>
      <c r="E14" s="9">
        <f>ROUND(36844.84/10,2)</f>
        <v>3684.48</v>
      </c>
      <c r="F14" s="15">
        <f t="shared" si="0"/>
        <v>3684.48</v>
      </c>
      <c r="H14" s="14">
        <v>0</v>
      </c>
      <c r="I14" s="9">
        <f>ROUND(36844.84/10,2)</f>
        <v>3684.48</v>
      </c>
      <c r="J14" s="15">
        <f t="shared" si="1"/>
        <v>3684.48</v>
      </c>
      <c r="L14" s="14">
        <v>0</v>
      </c>
      <c r="M14" s="9">
        <f>ROUND(36844.84/10,2)</f>
        <v>3684.48</v>
      </c>
      <c r="N14" s="15">
        <f t="shared" si="2"/>
        <v>3684.48</v>
      </c>
      <c r="P14" s="14">
        <v>0</v>
      </c>
      <c r="Q14" s="14">
        <f>36844.84-E14-I14-M14</f>
        <v>25791.399999999994</v>
      </c>
      <c r="R14" s="15">
        <f t="shared" si="3"/>
        <v>25791.399999999994</v>
      </c>
      <c r="T14" s="1"/>
      <c r="U14" s="1"/>
      <c r="V14" s="1"/>
      <c r="X14" s="15">
        <f t="shared" si="4"/>
        <v>0</v>
      </c>
      <c r="Y14" s="15">
        <f t="shared" si="4"/>
        <v>36844.839999999997</v>
      </c>
      <c r="Z14" s="15">
        <f t="shared" si="4"/>
        <v>36844.839999999997</v>
      </c>
      <c r="AB14" s="1">
        <v>7410</v>
      </c>
      <c r="AC14" s="1">
        <f t="shared" si="5"/>
        <v>29434.839999999997</v>
      </c>
      <c r="AD14" s="34">
        <f>AB14/Z14</f>
        <v>0.20111364305015303</v>
      </c>
    </row>
    <row r="15" spans="2:30" x14ac:dyDescent="0.25">
      <c r="B15" s="2" t="s">
        <v>28</v>
      </c>
      <c r="C15" s="2"/>
      <c r="D15" s="26">
        <f>SUM(D10:D14)</f>
        <v>0</v>
      </c>
      <c r="E15" s="26">
        <f>SUM(E10:E14)</f>
        <v>137222.97</v>
      </c>
      <c r="F15" s="26">
        <f t="shared" si="0"/>
        <v>137222.97</v>
      </c>
      <c r="H15" s="26">
        <f>SUM(H10:H14)</f>
        <v>0</v>
      </c>
      <c r="I15" s="26">
        <f>SUM(I10:I14)</f>
        <v>137222.97</v>
      </c>
      <c r="J15" s="26">
        <f t="shared" si="1"/>
        <v>137222.97</v>
      </c>
      <c r="L15" s="26">
        <f>SUM(L10:L14)</f>
        <v>0</v>
      </c>
      <c r="M15" s="26">
        <f>SUM(M10:M14)</f>
        <v>137222.97</v>
      </c>
      <c r="N15" s="26">
        <f t="shared" si="2"/>
        <v>137222.97</v>
      </c>
      <c r="P15" s="26">
        <f>SUM(P10:P14)</f>
        <v>0</v>
      </c>
      <c r="Q15" s="26">
        <f>SUM(Q10:Q14)</f>
        <v>960560.85999999975</v>
      </c>
      <c r="R15" s="26">
        <f t="shared" si="3"/>
        <v>960560.85999999975</v>
      </c>
      <c r="S15" s="1"/>
      <c r="T15" s="26">
        <f>SUM(T10:T14)</f>
        <v>0</v>
      </c>
      <c r="U15" s="26">
        <f>SUM(U10:U14)</f>
        <v>0</v>
      </c>
      <c r="V15" s="26">
        <f>T15+U15</f>
        <v>0</v>
      </c>
      <c r="X15" s="26">
        <f t="shared" si="4"/>
        <v>0</v>
      </c>
      <c r="Y15" s="26">
        <f t="shared" si="4"/>
        <v>1372229.7699999998</v>
      </c>
      <c r="Z15" s="26">
        <f t="shared" si="4"/>
        <v>1372229.7699999998</v>
      </c>
      <c r="AB15" s="1">
        <v>1123807</v>
      </c>
      <c r="AC15" s="1">
        <f>Z15-AB15</f>
        <v>248422.76999999979</v>
      </c>
      <c r="AD15" s="34">
        <f>AB15/Z15</f>
        <v>0.81896415933317068</v>
      </c>
    </row>
    <row r="17" spans="2:26" x14ac:dyDescent="0.25">
      <c r="B17" s="5" t="s">
        <v>817</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-17500</v>
      </c>
      <c r="R18" s="8">
        <f>P18+Q18</f>
        <v>-17500</v>
      </c>
      <c r="T18" s="9">
        <v>17500</v>
      </c>
      <c r="U18" s="9">
        <v>0</v>
      </c>
      <c r="V18" s="8">
        <f>T18+U18</f>
        <v>17500</v>
      </c>
      <c r="X18" s="8">
        <f t="shared" ref="X18:Z31" si="6">D18+H18+L18+P18+T18</f>
        <v>17500</v>
      </c>
      <c r="Y18" s="8">
        <f t="shared" si="6"/>
        <v>-17500</v>
      </c>
      <c r="Z18" s="8">
        <f t="shared" si="6"/>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si="6"/>
        <v>10000</v>
      </c>
      <c r="Y19" s="8">
        <f t="shared" si="6"/>
        <v>-10000</v>
      </c>
      <c r="Z19" s="8">
        <f t="shared" si="6"/>
        <v>0</v>
      </c>
    </row>
    <row r="20" spans="2:26" x14ac:dyDescent="0.25">
      <c r="B20" s="2" t="s">
        <v>892</v>
      </c>
      <c r="C20" s="6" t="s">
        <v>647</v>
      </c>
      <c r="E20" s="1"/>
      <c r="F20" s="1"/>
      <c r="H20" s="1"/>
      <c r="I20" s="1"/>
      <c r="J20" s="1"/>
      <c r="P20" s="9">
        <f>175672 + 59400</f>
        <v>235072</v>
      </c>
      <c r="Q20" s="8">
        <f t="shared" ref="Q20:Q21" si="7">-P20</f>
        <v>-235072</v>
      </c>
      <c r="R20" s="8">
        <f t="shared" ref="R20:R21" si="8">P20+Q20</f>
        <v>0</v>
      </c>
      <c r="X20" s="8">
        <f t="shared" ref="X20" si="9">D20+H20+L20+P20+T20</f>
        <v>235072</v>
      </c>
      <c r="Y20" s="8">
        <f t="shared" ref="Y20" si="10">E20+I20+M20+Q20+U20</f>
        <v>-235072</v>
      </c>
      <c r="Z20" s="8">
        <f t="shared" ref="Z20" si="11">F20+J20+N20+R20+V20</f>
        <v>0</v>
      </c>
    </row>
    <row r="21" spans="2:26" x14ac:dyDescent="0.25">
      <c r="B21" s="2" t="s">
        <v>883</v>
      </c>
      <c r="C21" s="6" t="s">
        <v>795</v>
      </c>
      <c r="E21" s="1"/>
      <c r="F21" s="1"/>
      <c r="H21" s="1"/>
      <c r="I21" s="1"/>
      <c r="J21" s="1"/>
      <c r="L21" s="9">
        <v>100000</v>
      </c>
      <c r="M21" s="8">
        <f t="shared" ref="M21" si="12">-L21</f>
        <v>-100000</v>
      </c>
      <c r="N21" s="8">
        <f t="shared" ref="N21" si="13">L21+M21</f>
        <v>0</v>
      </c>
      <c r="P21" s="9">
        <f>400000-L21</f>
        <v>300000</v>
      </c>
      <c r="Q21" s="8">
        <f t="shared" si="7"/>
        <v>-300000</v>
      </c>
      <c r="R21" s="8">
        <f t="shared" si="8"/>
        <v>0</v>
      </c>
      <c r="X21" s="8">
        <f t="shared" ref="X21" si="14">D21+H21+L21+P21+T21</f>
        <v>400000</v>
      </c>
      <c r="Y21" s="8">
        <f t="shared" ref="Y21" si="15">E21+I21+M21+Q21+U21</f>
        <v>-400000</v>
      </c>
      <c r="Z21" s="8">
        <f t="shared" ref="Z21" si="16">F21+J21+N21+R21+V21</f>
        <v>0</v>
      </c>
    </row>
    <row r="22" spans="2:26" x14ac:dyDescent="0.25">
      <c r="B22" s="2" t="s">
        <v>797</v>
      </c>
      <c r="C22" s="6" t="s">
        <v>796</v>
      </c>
      <c r="E22" s="1"/>
      <c r="F22" s="1"/>
      <c r="H22" s="1"/>
      <c r="I22" s="1"/>
      <c r="J22" s="1"/>
      <c r="P22" s="9">
        <v>30000</v>
      </c>
      <c r="Q22" s="8">
        <f t="shared" ref="Q22" si="17">-P22</f>
        <v>-30000</v>
      </c>
      <c r="R22" s="8">
        <f t="shared" ref="R22" si="18">P22+Q22</f>
        <v>0</v>
      </c>
      <c r="X22" s="8">
        <f t="shared" ref="X22" si="19">D22+H22+L22+P22+T22</f>
        <v>30000</v>
      </c>
      <c r="Y22" s="8">
        <f t="shared" ref="Y22" si="20">E22+I22+M22+Q22+U22</f>
        <v>-30000</v>
      </c>
      <c r="Z22" s="8">
        <f t="shared" ref="Z22" si="21">F22+J22+N22+R22+V22</f>
        <v>0</v>
      </c>
    </row>
    <row r="23" spans="2:26" x14ac:dyDescent="0.25">
      <c r="B23" s="2" t="s">
        <v>811</v>
      </c>
      <c r="C23" s="6" t="s">
        <v>798</v>
      </c>
      <c r="F23" s="1"/>
      <c r="H23" s="9">
        <v>8950</v>
      </c>
      <c r="I23" s="8">
        <f t="shared" ref="I23" si="22">-H23</f>
        <v>-8950</v>
      </c>
      <c r="J23" s="8">
        <f t="shared" ref="J23" si="23">H23+I23</f>
        <v>0</v>
      </c>
      <c r="X23" s="8">
        <f t="shared" ref="X23:X24" si="24">D23+H23+L23+P23+T23</f>
        <v>8950</v>
      </c>
      <c r="Y23" s="8">
        <f t="shared" ref="Y23:Y24" si="25">E23+I23+M23+Q23+U23</f>
        <v>-8950</v>
      </c>
      <c r="Z23" s="8">
        <f t="shared" ref="Z23:Z24" si="26">F23+J23+N23+R23+V23</f>
        <v>0</v>
      </c>
    </row>
    <row r="24" spans="2:26" x14ac:dyDescent="0.25">
      <c r="B24" s="2" t="s">
        <v>800</v>
      </c>
      <c r="C24" s="6" t="s">
        <v>799</v>
      </c>
      <c r="E24" s="1"/>
      <c r="F24" s="1"/>
      <c r="H24" s="9">
        <f>100000-87799</f>
        <v>12201</v>
      </c>
      <c r="I24" s="8">
        <f t="shared" ref="I24" si="27">-H24</f>
        <v>-12201</v>
      </c>
      <c r="J24" s="8">
        <f t="shared" ref="J24" si="28">H24+I24</f>
        <v>0</v>
      </c>
      <c r="X24" s="8">
        <f t="shared" si="24"/>
        <v>12201</v>
      </c>
      <c r="Y24" s="8">
        <f t="shared" si="25"/>
        <v>-12201</v>
      </c>
      <c r="Z24" s="8">
        <f t="shared" si="26"/>
        <v>0</v>
      </c>
    </row>
    <row r="25" spans="2:26" x14ac:dyDescent="0.25">
      <c r="B25" s="2" t="s">
        <v>802</v>
      </c>
      <c r="C25" s="6" t="s">
        <v>801</v>
      </c>
      <c r="E25" s="1"/>
      <c r="F25" s="1"/>
      <c r="H25" s="1"/>
      <c r="I25" s="1"/>
      <c r="J25" s="1"/>
      <c r="P25" s="9">
        <v>30000</v>
      </c>
      <c r="Q25" s="8">
        <f>-P25</f>
        <v>-30000</v>
      </c>
      <c r="R25" s="8">
        <f t="shared" ref="R25" si="29">P25+Q25</f>
        <v>0</v>
      </c>
      <c r="X25" s="8">
        <f t="shared" ref="X25" si="30">D25+H25+L25+P25+T25</f>
        <v>30000</v>
      </c>
      <c r="Y25" s="8">
        <f t="shared" ref="Y25" si="31">E25+I25+M25+Q25+U25</f>
        <v>-30000</v>
      </c>
      <c r="Z25" s="8">
        <f t="shared" ref="Z25" si="32">F25+J25+N25+R25+V25</f>
        <v>0</v>
      </c>
    </row>
    <row r="26" spans="2:26" x14ac:dyDescent="0.25">
      <c r="B26" s="2" t="s">
        <v>803</v>
      </c>
      <c r="C26" s="6" t="s">
        <v>804</v>
      </c>
      <c r="F26" s="1"/>
      <c r="H26" s="9">
        <v>16240</v>
      </c>
      <c r="I26" s="8">
        <f t="shared" ref="I26" si="33">-H26</f>
        <v>-16240</v>
      </c>
      <c r="J26" s="8">
        <f t="shared" ref="J26" si="34">H26+I26</f>
        <v>0</v>
      </c>
      <c r="X26" s="8">
        <f t="shared" ref="X26" si="35">D26+H26+L26+P26+T26</f>
        <v>16240</v>
      </c>
      <c r="Y26" s="8">
        <f t="shared" ref="Y26" si="36">E26+I26+M26+Q26+U26</f>
        <v>-16240</v>
      </c>
      <c r="Z26" s="8">
        <f t="shared" ref="Z26" si="37">F26+J26+N26+R26+V26</f>
        <v>0</v>
      </c>
    </row>
    <row r="27" spans="2:26" x14ac:dyDescent="0.25">
      <c r="B27" s="2" t="s">
        <v>806</v>
      </c>
      <c r="C27" s="6" t="s">
        <v>805</v>
      </c>
      <c r="F27" s="1"/>
      <c r="H27" s="9">
        <v>69600</v>
      </c>
      <c r="I27" s="8">
        <f t="shared" ref="I27" si="38">-H27</f>
        <v>-69600</v>
      </c>
      <c r="J27" s="8">
        <f t="shared" ref="J27" si="39">H27+I27</f>
        <v>0</v>
      </c>
      <c r="X27" s="8">
        <f t="shared" ref="X27" si="40">D27+H27+L27+P27+T27</f>
        <v>69600</v>
      </c>
      <c r="Y27" s="8">
        <f t="shared" ref="Y27" si="41">E27+I27+M27+Q27+U27</f>
        <v>-69600</v>
      </c>
      <c r="Z27" s="8">
        <f t="shared" ref="Z27" si="42">F27+J27+N27+R27+V27</f>
        <v>0</v>
      </c>
    </row>
    <row r="28" spans="2:26" x14ac:dyDescent="0.25">
      <c r="B28" s="2" t="s">
        <v>814</v>
      </c>
      <c r="C28" s="6" t="s">
        <v>807</v>
      </c>
      <c r="D28" s="9">
        <f>400000-355699</f>
        <v>44301</v>
      </c>
      <c r="E28" s="8">
        <f t="shared" ref="E28" si="43">-D28</f>
        <v>-44301</v>
      </c>
      <c r="F28" s="8">
        <f t="shared" ref="F28" si="44">D28+E28</f>
        <v>0</v>
      </c>
      <c r="H28" s="1"/>
      <c r="I28" s="1"/>
      <c r="J28" s="1"/>
      <c r="X28" s="8">
        <f t="shared" ref="X28" si="45">D28+H28+L28+P28+T28</f>
        <v>44301</v>
      </c>
      <c r="Y28" s="8">
        <f t="shared" ref="Y28" si="46">E28+I28+M28+Q28+U28</f>
        <v>-44301</v>
      </c>
      <c r="Z28" s="8">
        <f t="shared" ref="Z28" si="47">F28+J28+N28+R28+V28</f>
        <v>0</v>
      </c>
    </row>
    <row r="29" spans="2:26" x14ac:dyDescent="0.25">
      <c r="B29" s="2" t="s">
        <v>851</v>
      </c>
      <c r="C29" s="6" t="s">
        <v>808</v>
      </c>
      <c r="D29" s="9">
        <v>62660</v>
      </c>
      <c r="E29" s="8">
        <f t="shared" ref="E29" si="48">-D29</f>
        <v>-62660</v>
      </c>
      <c r="F29" s="8">
        <f t="shared" ref="F29" si="49">D29+E29</f>
        <v>0</v>
      </c>
      <c r="I29" s="1"/>
      <c r="J29" s="1"/>
      <c r="X29" s="8">
        <f t="shared" ref="X29" si="50">D29+H29+L29+P29+T29</f>
        <v>62660</v>
      </c>
      <c r="Y29" s="8">
        <f t="shared" ref="Y29" si="51">E29+I29+M29+Q29+U29</f>
        <v>-62660</v>
      </c>
      <c r="Z29" s="8">
        <f t="shared" ref="Z29" si="52">F29+J29+N29+R29+V29</f>
        <v>0</v>
      </c>
    </row>
    <row r="30" spans="2:26" ht="15.75" thickBot="1" x14ac:dyDescent="0.3">
      <c r="B30" s="2" t="s">
        <v>810</v>
      </c>
      <c r="C30" s="6" t="s">
        <v>809</v>
      </c>
      <c r="E30" s="2"/>
      <c r="L30" s="9">
        <v>5000</v>
      </c>
      <c r="M30" s="8">
        <f t="shared" ref="M30" si="53">-L30</f>
        <v>-5000</v>
      </c>
      <c r="N30" s="8">
        <f t="shared" ref="N30" si="54">L30+M30</f>
        <v>0</v>
      </c>
      <c r="P30" s="9">
        <v>7195</v>
      </c>
      <c r="Q30" s="8">
        <f t="shared" ref="Q30" si="55">-P30</f>
        <v>-7195</v>
      </c>
      <c r="R30" s="8">
        <f t="shared" ref="R30" si="56">P30+Q30</f>
        <v>0</v>
      </c>
      <c r="X30" s="8">
        <f t="shared" ref="X30" si="57">D30+H30+L30+P30+T30</f>
        <v>12195</v>
      </c>
      <c r="Y30" s="8">
        <f t="shared" ref="Y30" si="58">E30+I30+M30+Q30+U30</f>
        <v>-12195</v>
      </c>
      <c r="Z30" s="8">
        <f t="shared" ref="Z30" si="59">F30+J30+N30+R30+V30</f>
        <v>0</v>
      </c>
    </row>
    <row r="31" spans="2:26" x14ac:dyDescent="0.25">
      <c r="B31" s="2" t="s">
        <v>825</v>
      </c>
      <c r="C31" s="2"/>
      <c r="D31" s="26">
        <f>SUM(D18:D30)</f>
        <v>106961</v>
      </c>
      <c r="E31" s="26">
        <f>SUM(E18:E30)</f>
        <v>-106961</v>
      </c>
      <c r="F31" s="26">
        <f>D31+E31</f>
        <v>0</v>
      </c>
      <c r="H31" s="26">
        <f>SUM(H18:H30)</f>
        <v>106991</v>
      </c>
      <c r="I31" s="26">
        <f>SUM(I18:I30)</f>
        <v>-106991</v>
      </c>
      <c r="J31" s="26">
        <f>H31+I31</f>
        <v>0</v>
      </c>
      <c r="L31" s="26">
        <f>SUM(L18:L30)</f>
        <v>105000</v>
      </c>
      <c r="M31" s="26">
        <f>SUM(M18:M30)</f>
        <v>-105000</v>
      </c>
      <c r="N31" s="26">
        <f>L31+M31</f>
        <v>0</v>
      </c>
      <c r="P31" s="26">
        <f>SUM(P18:P30)</f>
        <v>602267</v>
      </c>
      <c r="Q31" s="26">
        <f>SUM(Q18:Q30)</f>
        <v>-629767</v>
      </c>
      <c r="R31" s="26">
        <f>P31+Q31</f>
        <v>-27500</v>
      </c>
      <c r="S31" s="1"/>
      <c r="T31" s="26">
        <f>SUM(T18:T30)</f>
        <v>27500</v>
      </c>
      <c r="U31" s="26">
        <f>SUM(U18:U30)</f>
        <v>0</v>
      </c>
      <c r="V31" s="26">
        <f>T31+U31</f>
        <v>27500</v>
      </c>
      <c r="X31" s="26">
        <f>D31+H31+L31+P31+T31</f>
        <v>948719</v>
      </c>
      <c r="Y31" s="26">
        <f t="shared" si="6"/>
        <v>-948719</v>
      </c>
      <c r="Z31" s="26">
        <f t="shared" si="6"/>
        <v>0</v>
      </c>
    </row>
    <row r="32" spans="2:26" x14ac:dyDescent="0.25">
      <c r="H32" s="1"/>
      <c r="I32" s="1"/>
      <c r="J32" s="1"/>
      <c r="L32" s="1"/>
      <c r="M32" s="1"/>
      <c r="N32" s="1"/>
      <c r="P32" s="1"/>
      <c r="Q32" s="1"/>
      <c r="R32" s="1"/>
    </row>
    <row r="33" spans="2:26" x14ac:dyDescent="0.25">
      <c r="B33" s="5" t="s">
        <v>775</v>
      </c>
      <c r="H33" s="1"/>
      <c r="I33" s="1"/>
      <c r="J33" s="1"/>
      <c r="L33" s="1"/>
      <c r="M33" s="1"/>
      <c r="N33" s="1"/>
      <c r="Q33" s="1"/>
      <c r="R33" s="1"/>
    </row>
    <row r="34" spans="2:26" ht="15.75" thickBot="1" x14ac:dyDescent="0.3">
      <c r="B34" s="2" t="s">
        <v>892</v>
      </c>
      <c r="C34" s="6" t="s">
        <v>647</v>
      </c>
      <c r="H34" s="1"/>
      <c r="I34" s="1"/>
      <c r="J34" s="1"/>
      <c r="L34" s="1"/>
      <c r="M34" s="1"/>
      <c r="N34" s="1"/>
      <c r="P34" s="9">
        <v>400000</v>
      </c>
      <c r="Q34" s="8">
        <f>-P34</f>
        <v>-400000</v>
      </c>
      <c r="R34" s="8">
        <f t="shared" ref="R34" si="60">P34+Q34</f>
        <v>0</v>
      </c>
      <c r="X34" s="8">
        <f t="shared" ref="X34:Z35" si="61">D34+H34+L34+P34+T34</f>
        <v>400000</v>
      </c>
      <c r="Y34" s="8">
        <f t="shared" si="61"/>
        <v>-400000</v>
      </c>
      <c r="Z34" s="8">
        <f t="shared" si="61"/>
        <v>0</v>
      </c>
    </row>
    <row r="35" spans="2:26" x14ac:dyDescent="0.25">
      <c r="B35" s="2" t="s">
        <v>776</v>
      </c>
      <c r="D35" s="26">
        <f>SUM(D34:D34)</f>
        <v>0</v>
      </c>
      <c r="E35" s="26">
        <f>SUM(E34:E34)</f>
        <v>0</v>
      </c>
      <c r="F35" s="26">
        <f>D35+E35</f>
        <v>0</v>
      </c>
      <c r="H35" s="26">
        <f>SUM(H34:H34)</f>
        <v>0</v>
      </c>
      <c r="I35" s="26">
        <f>SUM(I34:I34)</f>
        <v>0</v>
      </c>
      <c r="J35" s="26">
        <f>H35+I35</f>
        <v>0</v>
      </c>
      <c r="L35" s="26">
        <f>SUM(L34:L34)</f>
        <v>0</v>
      </c>
      <c r="M35" s="26">
        <f>SUM(M34:M34)</f>
        <v>0</v>
      </c>
      <c r="N35" s="26">
        <f>L35+M35</f>
        <v>0</v>
      </c>
      <c r="P35" s="26">
        <f>SUM(P34:P34)</f>
        <v>400000</v>
      </c>
      <c r="Q35" s="26">
        <f>SUM(Q34:Q34)</f>
        <v>-400000</v>
      </c>
      <c r="R35" s="26">
        <f>P35+Q35</f>
        <v>0</v>
      </c>
      <c r="S35" s="1"/>
      <c r="T35" s="26">
        <f>SUM(T34:T34)</f>
        <v>0</v>
      </c>
      <c r="U35" s="26">
        <f>SUM(U34:U34)</f>
        <v>0</v>
      </c>
      <c r="V35" s="26">
        <f>T35+U35</f>
        <v>0</v>
      </c>
      <c r="X35" s="26">
        <f t="shared" si="61"/>
        <v>400000</v>
      </c>
      <c r="Y35" s="26">
        <f t="shared" si="61"/>
        <v>-400000</v>
      </c>
      <c r="Z35" s="26">
        <f t="shared" si="61"/>
        <v>0</v>
      </c>
    </row>
    <row r="36" spans="2:26" x14ac:dyDescent="0.25">
      <c r="H36" s="1"/>
      <c r="I36" s="1"/>
      <c r="J36" s="1"/>
      <c r="L36" s="1"/>
      <c r="M36" s="1"/>
      <c r="N36" s="1"/>
      <c r="P36" s="1"/>
      <c r="Q36" s="1"/>
      <c r="R36" s="1"/>
    </row>
    <row r="37" spans="2:26" x14ac:dyDescent="0.25">
      <c r="B37" s="5" t="s">
        <v>8</v>
      </c>
      <c r="C37" s="5"/>
      <c r="H37" s="1"/>
      <c r="I37" s="1"/>
      <c r="J37" s="1"/>
      <c r="L37" s="1"/>
      <c r="M37" s="1"/>
      <c r="N37" s="1"/>
      <c r="P37" s="1"/>
      <c r="Q37" s="1"/>
    </row>
    <row r="38" spans="2:26" x14ac:dyDescent="0.25">
      <c r="B38" s="2" t="s">
        <v>7</v>
      </c>
      <c r="C38" s="2"/>
      <c r="D38" s="1"/>
      <c r="E38" s="1"/>
      <c r="F38" s="1"/>
      <c r="H38" s="1"/>
      <c r="I38" s="1"/>
      <c r="J38" s="1"/>
      <c r="T38" s="9">
        <v>-17522.45</v>
      </c>
      <c r="U38" s="9">
        <v>0</v>
      </c>
      <c r="V38" s="8">
        <f>T38+U38</f>
        <v>-17522.45</v>
      </c>
      <c r="X38" s="8">
        <f t="shared" ref="X38:Y39" si="62">D38+H38+L38+P38+T38</f>
        <v>-17522.45</v>
      </c>
      <c r="Y38" s="8">
        <f t="shared" si="62"/>
        <v>0</v>
      </c>
      <c r="Z38" s="8">
        <f t="shared" ref="Z38:Z39" si="63">X38+Y38</f>
        <v>-17522.45</v>
      </c>
    </row>
    <row r="39" spans="2:26" x14ac:dyDescent="0.25">
      <c r="B39" s="2" t="s">
        <v>52</v>
      </c>
      <c r="C39" s="2"/>
      <c r="D39" s="1"/>
      <c r="E39" s="1"/>
      <c r="F39" s="1"/>
      <c r="H39" s="1"/>
      <c r="I39" s="1"/>
      <c r="J39" s="1"/>
      <c r="L39" s="1"/>
      <c r="M39" s="1"/>
      <c r="N39" s="1"/>
      <c r="Q39" s="1"/>
      <c r="R39" s="1"/>
      <c r="T39" s="9">
        <v>-3625</v>
      </c>
      <c r="U39" s="9">
        <v>0</v>
      </c>
      <c r="V39" s="8">
        <f>T39+U39</f>
        <v>-3625</v>
      </c>
      <c r="X39" s="8">
        <f t="shared" si="62"/>
        <v>-3625</v>
      </c>
      <c r="Y39" s="8">
        <f t="shared" si="62"/>
        <v>0</v>
      </c>
      <c r="Z39" s="8">
        <f t="shared" si="63"/>
        <v>-3625</v>
      </c>
    </row>
    <row r="40" spans="2:26" x14ac:dyDescent="0.25">
      <c r="B40" s="2" t="s">
        <v>469</v>
      </c>
      <c r="C40" s="6" t="s">
        <v>463</v>
      </c>
      <c r="H40" s="1"/>
      <c r="I40" s="1"/>
      <c r="J40" s="1"/>
      <c r="L40" s="1"/>
      <c r="M40" s="1"/>
      <c r="N40" s="1"/>
      <c r="P40" s="9">
        <v>-833</v>
      </c>
      <c r="Q40" s="9">
        <v>0</v>
      </c>
      <c r="R40" s="8">
        <f t="shared" ref="R40:R53" si="64">P40+Q40</f>
        <v>-833</v>
      </c>
      <c r="X40" s="8">
        <f t="shared" ref="X40" si="65">D40+H40+L40+P40+T40</f>
        <v>-833</v>
      </c>
      <c r="Y40" s="8">
        <f t="shared" ref="Y40" si="66">E40+I40+M40+Q40+U40</f>
        <v>0</v>
      </c>
      <c r="Z40" s="8">
        <f t="shared" ref="Z40" si="67">X40+Y40</f>
        <v>-833</v>
      </c>
    </row>
    <row r="41" spans="2:26" x14ac:dyDescent="0.25">
      <c r="B41" s="2" t="s">
        <v>789</v>
      </c>
      <c r="C41" s="6" t="s">
        <v>629</v>
      </c>
      <c r="D41" s="1"/>
      <c r="E41" s="1"/>
      <c r="F41" s="1"/>
      <c r="H41" s="9">
        <v>-5400</v>
      </c>
      <c r="I41" s="9">
        <v>0</v>
      </c>
      <c r="J41" s="8">
        <f>H41+I41</f>
        <v>-5400</v>
      </c>
      <c r="L41" s="1"/>
      <c r="M41" s="1"/>
      <c r="N41" s="1"/>
      <c r="X41" s="8">
        <f t="shared" ref="X41" si="68">D41+H41+L41+P41+T41</f>
        <v>-5400</v>
      </c>
      <c r="Y41" s="8">
        <f t="shared" ref="Y41" si="69">E41+I41+M41+Q41+U41</f>
        <v>0</v>
      </c>
      <c r="Z41" s="8">
        <f t="shared" ref="Z41" si="70">X41+Y41</f>
        <v>-5400</v>
      </c>
    </row>
    <row r="42" spans="2:26" x14ac:dyDescent="0.25">
      <c r="B42" s="2" t="s">
        <v>631</v>
      </c>
      <c r="C42" s="6" t="s">
        <v>630</v>
      </c>
      <c r="D42" s="1"/>
      <c r="E42" s="1"/>
      <c r="F42" s="1"/>
      <c r="L42" s="1"/>
      <c r="M42" s="1"/>
      <c r="N42" s="1"/>
      <c r="P42" s="9">
        <v>0</v>
      </c>
      <c r="Q42" s="9">
        <v>0</v>
      </c>
      <c r="R42" s="8">
        <f>P42+Q42</f>
        <v>0</v>
      </c>
      <c r="X42" s="8">
        <f t="shared" ref="X42" si="71">D42+H42+L42+P42+T42</f>
        <v>0</v>
      </c>
      <c r="Y42" s="8">
        <f t="shared" ref="Y42" si="72">E42+I42+M42+Q42+U42</f>
        <v>0</v>
      </c>
      <c r="Z42" s="8">
        <f t="shared" ref="Z42" si="73">X42+Y42</f>
        <v>0</v>
      </c>
    </row>
    <row r="43" spans="2:26" x14ac:dyDescent="0.25">
      <c r="B43" s="2" t="s">
        <v>632</v>
      </c>
      <c r="C43" s="6" t="s">
        <v>633</v>
      </c>
      <c r="D43" s="1"/>
      <c r="E43" s="1"/>
      <c r="F43" s="1"/>
      <c r="L43" s="1"/>
      <c r="M43" s="1"/>
      <c r="N43" s="1"/>
      <c r="P43" s="9">
        <v>0</v>
      </c>
      <c r="Q43" s="9">
        <v>0</v>
      </c>
      <c r="R43" s="8">
        <f>P43+Q43</f>
        <v>0</v>
      </c>
      <c r="X43" s="8">
        <f t="shared" ref="X43" si="74">D43+H43+L43+P43+T43</f>
        <v>0</v>
      </c>
      <c r="Y43" s="8">
        <f t="shared" ref="Y43" si="75">E43+I43+M43+Q43+U43</f>
        <v>0</v>
      </c>
      <c r="Z43" s="8">
        <f t="shared" ref="Z43" si="76">X43+Y43</f>
        <v>0</v>
      </c>
    </row>
    <row r="44" spans="2:26" x14ac:dyDescent="0.25">
      <c r="B44" s="2" t="s">
        <v>635</v>
      </c>
      <c r="C44" s="6" t="s">
        <v>634</v>
      </c>
      <c r="D44" s="9">
        <v>-16984.77</v>
      </c>
      <c r="E44" s="9">
        <v>0</v>
      </c>
      <c r="F44" s="8">
        <f>D44+E44</f>
        <v>-16984.77</v>
      </c>
      <c r="L44" s="1"/>
      <c r="M44" s="1"/>
      <c r="N44" s="1"/>
      <c r="X44" s="8">
        <f t="shared" ref="X44" si="77">D44+H44+L44+P44+T44</f>
        <v>-16984.77</v>
      </c>
      <c r="Y44" s="8">
        <f t="shared" ref="Y44" si="78">E44+I44+M44+Q44+U44</f>
        <v>0</v>
      </c>
      <c r="Z44" s="8">
        <f t="shared" ref="Z44" si="79">X44+Y44</f>
        <v>-16984.77</v>
      </c>
    </row>
    <row r="45" spans="2:26" x14ac:dyDescent="0.25">
      <c r="B45" s="2" t="s">
        <v>637</v>
      </c>
      <c r="C45" s="6" t="s">
        <v>638</v>
      </c>
      <c r="L45" s="1"/>
      <c r="M45" s="1"/>
      <c r="N45" s="1"/>
      <c r="P45" s="9">
        <v>-2569.4899999999998</v>
      </c>
      <c r="Q45" s="9">
        <v>0</v>
      </c>
      <c r="R45" s="8">
        <f>P45+Q45</f>
        <v>-2569.4899999999998</v>
      </c>
      <c r="X45" s="8">
        <f t="shared" ref="X45:X47" si="80">D45+H45+L45+P45+T45</f>
        <v>-2569.4899999999998</v>
      </c>
      <c r="Y45" s="8">
        <f t="shared" ref="Y45:Y47" si="81">E45+I45+M45+Q45+U45</f>
        <v>0</v>
      </c>
      <c r="Z45" s="8">
        <f t="shared" ref="Z45:Z47" si="82">X45+Y45</f>
        <v>-2569.4899999999998</v>
      </c>
    </row>
    <row r="46" spans="2:26" x14ac:dyDescent="0.25">
      <c r="B46" s="2" t="s">
        <v>641</v>
      </c>
      <c r="C46" s="6" t="s">
        <v>640</v>
      </c>
      <c r="L46" s="9">
        <v>-30232</v>
      </c>
      <c r="M46" s="9">
        <v>0</v>
      </c>
      <c r="N46" s="8">
        <f>L46+M46</f>
        <v>-30232</v>
      </c>
      <c r="P46" s="9">
        <v>-152064</v>
      </c>
      <c r="Q46" s="9">
        <v>0</v>
      </c>
      <c r="R46" s="8">
        <f>P46+Q46</f>
        <v>-152064</v>
      </c>
      <c r="X46" s="8">
        <f t="shared" si="80"/>
        <v>-182296</v>
      </c>
      <c r="Y46" s="8">
        <f t="shared" si="81"/>
        <v>0</v>
      </c>
      <c r="Z46" s="8">
        <f t="shared" si="82"/>
        <v>-182296</v>
      </c>
    </row>
    <row r="47" spans="2:26" x14ac:dyDescent="0.25">
      <c r="B47" s="2" t="s">
        <v>892</v>
      </c>
      <c r="C47" s="6" t="s">
        <v>647</v>
      </c>
      <c r="D47" s="1"/>
      <c r="E47" s="1"/>
      <c r="F47" s="1"/>
      <c r="H47" s="1"/>
      <c r="I47" s="1"/>
      <c r="J47" s="1"/>
      <c r="P47" s="9">
        <f>-575672-59310.52</f>
        <v>-634982.52</v>
      </c>
      <c r="Q47" s="9">
        <v>0</v>
      </c>
      <c r="R47" s="8">
        <f t="shared" ref="R47" si="83">P47+Q47</f>
        <v>-634982.52</v>
      </c>
      <c r="X47" s="8">
        <f t="shared" si="80"/>
        <v>-634982.52</v>
      </c>
      <c r="Y47" s="8">
        <f t="shared" si="81"/>
        <v>0</v>
      </c>
      <c r="Z47" s="8">
        <f t="shared" si="82"/>
        <v>-634982.52</v>
      </c>
    </row>
    <row r="48" spans="2:26" x14ac:dyDescent="0.25">
      <c r="B48" s="2" t="s">
        <v>675</v>
      </c>
      <c r="C48" s="6" t="s">
        <v>676</v>
      </c>
      <c r="P48" s="9">
        <v>-11574.5</v>
      </c>
      <c r="Q48" s="9">
        <v>0</v>
      </c>
      <c r="R48" s="8">
        <f>P48+Q48</f>
        <v>-11574.5</v>
      </c>
      <c r="X48" s="8">
        <f t="shared" ref="X48" si="84">D48+H48+L48+P48+T48</f>
        <v>-11574.5</v>
      </c>
      <c r="Y48" s="8">
        <f t="shared" ref="Y48" si="85">E48+I48+M48+Q48+U48</f>
        <v>0</v>
      </c>
      <c r="Z48" s="8">
        <f t="shared" ref="Z48" si="86">X48+Y48</f>
        <v>-11574.5</v>
      </c>
    </row>
    <row r="49" spans="2:26" x14ac:dyDescent="0.25">
      <c r="B49" s="2" t="s">
        <v>761</v>
      </c>
      <c r="C49" s="6" t="s">
        <v>762</v>
      </c>
      <c r="D49" s="1"/>
      <c r="E49" s="1"/>
      <c r="F49" s="1"/>
      <c r="H49" s="1"/>
      <c r="I49" s="1"/>
      <c r="J49" s="1"/>
      <c r="P49" s="9">
        <v>-4000</v>
      </c>
      <c r="Q49" s="9">
        <v>0</v>
      </c>
      <c r="R49" s="8">
        <f t="shared" si="64"/>
        <v>-4000</v>
      </c>
      <c r="X49" s="8">
        <f t="shared" ref="X49:X51" si="87">D49+H49+L49+P49+T49</f>
        <v>-4000</v>
      </c>
      <c r="Y49" s="8">
        <f t="shared" ref="Y49:Y51" si="88">E49+I49+M49+Q49+U49</f>
        <v>0</v>
      </c>
      <c r="Z49" s="8">
        <f t="shared" ref="Z49:Z51" si="89">X49+Y49</f>
        <v>-4000</v>
      </c>
    </row>
    <row r="50" spans="2:26" x14ac:dyDescent="0.25">
      <c r="B50" s="2" t="s">
        <v>763</v>
      </c>
      <c r="C50" s="6" t="s">
        <v>764</v>
      </c>
      <c r="D50" s="1"/>
      <c r="E50" s="1"/>
      <c r="F50" s="1"/>
      <c r="H50" s="1"/>
      <c r="I50" s="1"/>
      <c r="J50" s="1"/>
      <c r="P50" s="9">
        <v>-77000</v>
      </c>
      <c r="Q50" s="9">
        <v>0</v>
      </c>
      <c r="R50" s="8">
        <f t="shared" si="64"/>
        <v>-77000</v>
      </c>
      <c r="X50" s="8">
        <f t="shared" si="87"/>
        <v>-77000</v>
      </c>
      <c r="Y50" s="8">
        <f t="shared" si="88"/>
        <v>0</v>
      </c>
      <c r="Z50" s="8">
        <f t="shared" si="89"/>
        <v>-77000</v>
      </c>
    </row>
    <row r="51" spans="2:26" x14ac:dyDescent="0.25">
      <c r="B51" s="2" t="s">
        <v>765</v>
      </c>
      <c r="C51" s="6" t="s">
        <v>766</v>
      </c>
      <c r="D51" s="1"/>
      <c r="E51" s="1"/>
      <c r="F51" s="1"/>
      <c r="H51" s="1"/>
      <c r="I51" s="1"/>
      <c r="J51" s="1"/>
      <c r="P51" s="9">
        <v>-90000</v>
      </c>
      <c r="Q51" s="9">
        <v>0</v>
      </c>
      <c r="R51" s="8">
        <f t="shared" si="64"/>
        <v>-90000</v>
      </c>
      <c r="X51" s="8">
        <f t="shared" si="87"/>
        <v>-90000</v>
      </c>
      <c r="Y51" s="8">
        <f t="shared" si="88"/>
        <v>0</v>
      </c>
      <c r="Z51" s="8">
        <f t="shared" si="89"/>
        <v>-90000</v>
      </c>
    </row>
    <row r="52" spans="2:26" x14ac:dyDescent="0.25">
      <c r="B52" s="2" t="s">
        <v>883</v>
      </c>
      <c r="C52" s="6" t="s">
        <v>795</v>
      </c>
      <c r="E52" s="1"/>
      <c r="F52" s="1"/>
      <c r="H52" s="1"/>
      <c r="I52" s="1"/>
      <c r="J52" s="1"/>
      <c r="L52" s="9">
        <v>-100000</v>
      </c>
      <c r="M52" s="9">
        <v>0</v>
      </c>
      <c r="N52" s="8">
        <f t="shared" ref="N52" si="90">L52+M52</f>
        <v>-100000</v>
      </c>
      <c r="P52" s="9">
        <v>-300000</v>
      </c>
      <c r="Q52" s="9">
        <v>0</v>
      </c>
      <c r="R52" s="8">
        <f t="shared" si="64"/>
        <v>-300000</v>
      </c>
      <c r="X52" s="8">
        <f t="shared" ref="X52:X62" si="91">D52+H52+L52+P52+T52</f>
        <v>-400000</v>
      </c>
      <c r="Y52" s="8">
        <f t="shared" ref="Y52:Y62" si="92">E52+I52+M52+Q52+U52</f>
        <v>0</v>
      </c>
      <c r="Z52" s="8">
        <f t="shared" ref="Z52:Z62" si="93">F52+J52+N52+R52+V52</f>
        <v>-400000</v>
      </c>
    </row>
    <row r="53" spans="2:26" x14ac:dyDescent="0.25">
      <c r="B53" s="2" t="s">
        <v>797</v>
      </c>
      <c r="C53" s="6" t="s">
        <v>796</v>
      </c>
      <c r="E53" s="1"/>
      <c r="F53" s="1"/>
      <c r="H53" s="1"/>
      <c r="I53" s="1"/>
      <c r="J53" s="1"/>
      <c r="P53" s="9">
        <v>-30000</v>
      </c>
      <c r="Q53" s="9">
        <v>0</v>
      </c>
      <c r="R53" s="8">
        <f t="shared" si="64"/>
        <v>-30000</v>
      </c>
      <c r="X53" s="8">
        <f t="shared" si="91"/>
        <v>-30000</v>
      </c>
      <c r="Y53" s="8">
        <f t="shared" si="92"/>
        <v>0</v>
      </c>
      <c r="Z53" s="8">
        <f t="shared" si="93"/>
        <v>-30000</v>
      </c>
    </row>
    <row r="54" spans="2:26" x14ac:dyDescent="0.25">
      <c r="B54" s="2" t="s">
        <v>811</v>
      </c>
      <c r="C54" s="6" t="s">
        <v>798</v>
      </c>
      <c r="F54" s="1"/>
      <c r="H54" s="9">
        <v>-1247.5</v>
      </c>
      <c r="I54" s="9">
        <v>0</v>
      </c>
      <c r="J54" s="8">
        <f t="shared" ref="J54:J56" si="94">H54+I54</f>
        <v>-1247.5</v>
      </c>
      <c r="X54" s="8">
        <f t="shared" ref="X54:X56" si="95">D54+H54+L54+P54+T54</f>
        <v>-1247.5</v>
      </c>
      <c r="Y54" s="8">
        <f t="shared" ref="Y54:Y56" si="96">E54+I54+M54+Q54+U54</f>
        <v>0</v>
      </c>
      <c r="Z54" s="8">
        <f t="shared" ref="Z54:Z56" si="97">F54+J54+N54+R54+V54</f>
        <v>-1247.5</v>
      </c>
    </row>
    <row r="55" spans="2:26" x14ac:dyDescent="0.25">
      <c r="B55" s="2" t="s">
        <v>793</v>
      </c>
      <c r="C55" s="6" t="s">
        <v>792</v>
      </c>
      <c r="F55" s="1"/>
      <c r="L55" s="9">
        <v>-2257.56</v>
      </c>
      <c r="M55" s="9">
        <v>0</v>
      </c>
      <c r="N55" s="8">
        <f>L55+M55</f>
        <v>-2257.56</v>
      </c>
      <c r="X55" s="8">
        <f t="shared" si="95"/>
        <v>-2257.56</v>
      </c>
      <c r="Y55" s="8">
        <f t="shared" si="96"/>
        <v>0</v>
      </c>
      <c r="Z55" s="8">
        <f t="shared" si="97"/>
        <v>-2257.56</v>
      </c>
    </row>
    <row r="56" spans="2:26" x14ac:dyDescent="0.25">
      <c r="B56" s="2" t="s">
        <v>800</v>
      </c>
      <c r="C56" s="6" t="s">
        <v>799</v>
      </c>
      <c r="E56" s="1"/>
      <c r="F56" s="1"/>
      <c r="H56" s="9">
        <v>-37500</v>
      </c>
      <c r="I56" s="9">
        <v>0</v>
      </c>
      <c r="J56" s="8">
        <f t="shared" si="94"/>
        <v>-37500</v>
      </c>
      <c r="X56" s="8">
        <f t="shared" si="95"/>
        <v>-37500</v>
      </c>
      <c r="Y56" s="8">
        <f t="shared" si="96"/>
        <v>0</v>
      </c>
      <c r="Z56" s="8">
        <f t="shared" si="97"/>
        <v>-37500</v>
      </c>
    </row>
    <row r="57" spans="2:26" x14ac:dyDescent="0.25">
      <c r="B57" s="2" t="s">
        <v>802</v>
      </c>
      <c r="C57" s="6" t="s">
        <v>801</v>
      </c>
      <c r="E57" s="1"/>
      <c r="F57" s="1"/>
      <c r="H57" s="1"/>
      <c r="I57" s="1"/>
      <c r="J57" s="1"/>
      <c r="P57" s="9">
        <v>0</v>
      </c>
      <c r="Q57" s="9">
        <v>0</v>
      </c>
      <c r="R57" s="8">
        <f t="shared" ref="R57" si="98">P57+Q57</f>
        <v>0</v>
      </c>
      <c r="X57" s="8">
        <f t="shared" si="91"/>
        <v>0</v>
      </c>
      <c r="Y57" s="8">
        <f t="shared" si="92"/>
        <v>0</v>
      </c>
      <c r="Z57" s="8">
        <f t="shared" si="93"/>
        <v>0</v>
      </c>
    </row>
    <row r="58" spans="2:26" x14ac:dyDescent="0.25">
      <c r="B58" s="2" t="s">
        <v>803</v>
      </c>
      <c r="C58" s="6" t="s">
        <v>804</v>
      </c>
      <c r="F58" s="1"/>
      <c r="H58" s="9">
        <v>-7768.26</v>
      </c>
      <c r="I58" s="9">
        <v>0</v>
      </c>
      <c r="J58" s="8">
        <f t="shared" ref="J58:J59" si="99">H58+I58</f>
        <v>-7768.26</v>
      </c>
      <c r="X58" s="8">
        <f t="shared" si="91"/>
        <v>-7768.26</v>
      </c>
      <c r="Y58" s="8">
        <f t="shared" si="92"/>
        <v>0</v>
      </c>
      <c r="Z58" s="8">
        <f t="shared" si="93"/>
        <v>-7768.26</v>
      </c>
    </row>
    <row r="59" spans="2:26" x14ac:dyDescent="0.25">
      <c r="B59" s="2" t="s">
        <v>806</v>
      </c>
      <c r="C59" s="6" t="s">
        <v>805</v>
      </c>
      <c r="F59" s="1"/>
      <c r="H59" s="9">
        <v>-10477.379999999999</v>
      </c>
      <c r="I59" s="9">
        <v>0</v>
      </c>
      <c r="J59" s="8">
        <f t="shared" si="99"/>
        <v>-10477.379999999999</v>
      </c>
      <c r="X59" s="8">
        <f t="shared" si="91"/>
        <v>-10477.379999999999</v>
      </c>
      <c r="Y59" s="8">
        <f t="shared" si="92"/>
        <v>0</v>
      </c>
      <c r="Z59" s="8">
        <f t="shared" si="93"/>
        <v>-10477.379999999999</v>
      </c>
    </row>
    <row r="60" spans="2:26" x14ac:dyDescent="0.25">
      <c r="B60" s="2" t="s">
        <v>814</v>
      </c>
      <c r="C60" s="6" t="s">
        <v>807</v>
      </c>
      <c r="D60" s="9">
        <v>-400000</v>
      </c>
      <c r="E60" s="9">
        <v>0</v>
      </c>
      <c r="F60" s="8">
        <f t="shared" ref="F60:F61" si="100">D60+E60</f>
        <v>-400000</v>
      </c>
      <c r="H60" s="1"/>
      <c r="I60" s="1"/>
      <c r="J60" s="1"/>
      <c r="X60" s="8">
        <f t="shared" si="91"/>
        <v>-400000</v>
      </c>
      <c r="Y60" s="8">
        <f t="shared" si="92"/>
        <v>0</v>
      </c>
      <c r="Z60" s="8">
        <f t="shared" si="93"/>
        <v>-400000</v>
      </c>
    </row>
    <row r="61" spans="2:26" x14ac:dyDescent="0.25">
      <c r="B61" s="2" t="s">
        <v>851</v>
      </c>
      <c r="C61" s="6" t="s">
        <v>808</v>
      </c>
      <c r="D61" s="9">
        <v>-61564.959999999999</v>
      </c>
      <c r="E61" s="9">
        <v>0</v>
      </c>
      <c r="F61" s="8">
        <f t="shared" si="100"/>
        <v>-61564.959999999999</v>
      </c>
      <c r="I61" s="1"/>
      <c r="J61" s="1"/>
      <c r="X61" s="8">
        <f t="shared" si="91"/>
        <v>-61564.959999999999</v>
      </c>
      <c r="Y61" s="8">
        <f t="shared" si="92"/>
        <v>0</v>
      </c>
      <c r="Z61" s="8">
        <f t="shared" si="93"/>
        <v>-61564.959999999999</v>
      </c>
    </row>
    <row r="62" spans="2:26" ht="15.75" thickBot="1" x14ac:dyDescent="0.3">
      <c r="B62" s="2" t="s">
        <v>810</v>
      </c>
      <c r="C62" s="6" t="s">
        <v>809</v>
      </c>
      <c r="E62" s="2"/>
      <c r="L62" s="9">
        <v>-3951.1</v>
      </c>
      <c r="M62" s="9">
        <v>0</v>
      </c>
      <c r="N62" s="8">
        <f t="shared" ref="N62" si="101">L62+M62</f>
        <v>-3951.1</v>
      </c>
      <c r="P62" s="9">
        <v>-7195</v>
      </c>
      <c r="Q62" s="9">
        <v>0</v>
      </c>
      <c r="R62" s="8">
        <f t="shared" ref="R62" si="102">P62+Q62</f>
        <v>-7195</v>
      </c>
      <c r="X62" s="8">
        <f t="shared" si="91"/>
        <v>-11146.1</v>
      </c>
      <c r="Y62" s="8">
        <f t="shared" si="92"/>
        <v>0</v>
      </c>
      <c r="Z62" s="8">
        <f t="shared" si="93"/>
        <v>-11146.1</v>
      </c>
    </row>
    <row r="63" spans="2:26" x14ac:dyDescent="0.25">
      <c r="B63" s="2" t="s">
        <v>31</v>
      </c>
      <c r="C63" s="2"/>
      <c r="D63" s="26">
        <f>SUM(D38:D62)</f>
        <v>-478549.73000000004</v>
      </c>
      <c r="E63" s="26">
        <f>SUM(E38:E62)</f>
        <v>0</v>
      </c>
      <c r="F63" s="26">
        <f>D63+E63</f>
        <v>-478549.73000000004</v>
      </c>
      <c r="H63" s="26">
        <f>SUM(H38:H62)</f>
        <v>-62393.14</v>
      </c>
      <c r="I63" s="26">
        <f>SUM(I38:I62)</f>
        <v>0</v>
      </c>
      <c r="J63" s="26">
        <f>H63+I63</f>
        <v>-62393.14</v>
      </c>
      <c r="L63" s="26">
        <f>SUM(L38:L62)</f>
        <v>-136440.66</v>
      </c>
      <c r="M63" s="26">
        <f>SUM(M38:M62)</f>
        <v>0</v>
      </c>
      <c r="N63" s="26">
        <f>L63+M63</f>
        <v>-136440.66</v>
      </c>
      <c r="P63" s="26">
        <f>SUM(P38:P62)</f>
        <v>-1310218.51</v>
      </c>
      <c r="Q63" s="26">
        <f>SUM(Q38:Q62)</f>
        <v>0</v>
      </c>
      <c r="R63" s="26">
        <f>P63+Q63</f>
        <v>-1310218.51</v>
      </c>
      <c r="S63" s="1"/>
      <c r="T63" s="26">
        <f>SUM(T38:T62)</f>
        <v>-21147.45</v>
      </c>
      <c r="U63" s="26">
        <f>SUM(U38:U62)</f>
        <v>0</v>
      </c>
      <c r="V63" s="26">
        <f>T63+U63</f>
        <v>-21147.45</v>
      </c>
      <c r="X63" s="26">
        <f>SUM(X38:X62)</f>
        <v>-2008749.49</v>
      </c>
      <c r="Y63" s="26">
        <f>SUM(Y38:Y62)</f>
        <v>0</v>
      </c>
      <c r="Z63" s="26">
        <f>X63+Y63</f>
        <v>-2008749.49</v>
      </c>
    </row>
    <row r="64" spans="2:26" x14ac:dyDescent="0.25">
      <c r="D64" s="1"/>
      <c r="E64" s="1"/>
      <c r="F64" s="1"/>
      <c r="H64" s="1"/>
      <c r="I64" s="1"/>
      <c r="J64" s="1"/>
      <c r="L64" s="1"/>
      <c r="M64" s="1"/>
      <c r="N64" s="1"/>
      <c r="P64" s="1"/>
      <c r="Q64" s="1"/>
      <c r="R64" s="1"/>
      <c r="U64" s="1"/>
      <c r="V64" s="1"/>
      <c r="X64" s="1"/>
    </row>
    <row r="65" spans="2:26" x14ac:dyDescent="0.25">
      <c r="B65" s="5" t="s">
        <v>10</v>
      </c>
      <c r="C65" s="5"/>
      <c r="D65" s="1"/>
      <c r="E65" s="1"/>
      <c r="F65" s="1"/>
      <c r="L65" s="1"/>
      <c r="M65" s="1"/>
      <c r="N65" s="1"/>
    </row>
    <row r="66" spans="2:26" x14ac:dyDescent="0.25">
      <c r="B66" s="2" t="s">
        <v>7</v>
      </c>
      <c r="C66" s="2"/>
      <c r="Q66" s="8">
        <f>-T66</f>
        <v>-22.450000000000728</v>
      </c>
      <c r="R66" s="8">
        <f>P66+Q66</f>
        <v>-22.450000000000728</v>
      </c>
      <c r="T66" s="9">
        <f>17522.45-17500</f>
        <v>22.450000000000728</v>
      </c>
      <c r="U66" s="9">
        <v>0</v>
      </c>
      <c r="V66" s="8">
        <f>T66+U66</f>
        <v>22.450000000000728</v>
      </c>
      <c r="X66" s="8">
        <f t="shared" ref="X66:Y66" si="103">D66+H66+L66+P66+T66</f>
        <v>22.450000000000728</v>
      </c>
      <c r="Y66" s="8">
        <f t="shared" si="103"/>
        <v>-22.450000000000728</v>
      </c>
      <c r="Z66" s="8">
        <f t="shared" ref="Z66:Z73" si="104">X66+Y66</f>
        <v>0</v>
      </c>
    </row>
    <row r="67" spans="2:26" x14ac:dyDescent="0.25">
      <c r="B67" s="2" t="s">
        <v>52</v>
      </c>
      <c r="C67" s="2"/>
      <c r="Q67" s="8">
        <f>-T67</f>
        <v>6375</v>
      </c>
      <c r="R67" s="8">
        <f>P67+Q67</f>
        <v>6375</v>
      </c>
      <c r="T67" s="9">
        <f>3625-10000</f>
        <v>-6375</v>
      </c>
      <c r="U67" s="9">
        <v>0</v>
      </c>
      <c r="V67" s="8">
        <f>T67+U67</f>
        <v>-6375</v>
      </c>
      <c r="X67" s="8">
        <f t="shared" ref="X67:X71" si="105">D67+H67+L67+P67+T67</f>
        <v>-6375</v>
      </c>
      <c r="Y67" s="8">
        <f t="shared" ref="Y67:Y71" si="106">E67+I67+M67+Q67+U67</f>
        <v>6375</v>
      </c>
      <c r="Z67" s="8">
        <f t="shared" si="104"/>
        <v>0</v>
      </c>
    </row>
    <row r="68" spans="2:26" x14ac:dyDescent="0.25">
      <c r="B68" s="2" t="s">
        <v>789</v>
      </c>
      <c r="C68" s="6" t="s">
        <v>629</v>
      </c>
      <c r="H68" s="9">
        <v>-3658.35</v>
      </c>
      <c r="I68" s="8">
        <f>-H68</f>
        <v>3658.35</v>
      </c>
      <c r="J68" s="8">
        <f t="shared" ref="J68" si="107">H68+I68</f>
        <v>0</v>
      </c>
      <c r="X68" s="8">
        <f t="shared" ref="X68" si="108">D68+H68+L68+P68+T68</f>
        <v>-3658.35</v>
      </c>
      <c r="Y68" s="8">
        <f t="shared" ref="Y68" si="109">E68+I68+M68+Q68+U68</f>
        <v>3658.35</v>
      </c>
      <c r="Z68" s="8">
        <f t="shared" si="104"/>
        <v>0</v>
      </c>
    </row>
    <row r="69" spans="2:26" x14ac:dyDescent="0.25">
      <c r="B69" s="2" t="s">
        <v>641</v>
      </c>
      <c r="C69" s="6" t="s">
        <v>640</v>
      </c>
      <c r="P69" s="9">
        <v>-47936</v>
      </c>
      <c r="Q69" s="8">
        <f>-P69</f>
        <v>47936</v>
      </c>
      <c r="R69" s="8">
        <f>P69+Q69</f>
        <v>0</v>
      </c>
      <c r="X69" s="8">
        <f t="shared" ref="X69" si="110">D69+H69+L69+P69+T69</f>
        <v>-47936</v>
      </c>
      <c r="Y69" s="8">
        <f t="shared" ref="Y69" si="111">E69+I69+M69+Q69+U69</f>
        <v>47936</v>
      </c>
      <c r="Z69" s="8">
        <f t="shared" si="104"/>
        <v>0</v>
      </c>
    </row>
    <row r="70" spans="2:26" x14ac:dyDescent="0.25">
      <c r="B70" s="2" t="s">
        <v>892</v>
      </c>
      <c r="C70" s="6" t="s">
        <v>647</v>
      </c>
      <c r="P70" s="9">
        <v>-89.48</v>
      </c>
      <c r="Q70" s="8">
        <f>-P70</f>
        <v>89.48</v>
      </c>
      <c r="R70" s="8">
        <f>P70+Q70</f>
        <v>0</v>
      </c>
      <c r="X70" s="8">
        <f t="shared" si="105"/>
        <v>-89.48</v>
      </c>
      <c r="Y70" s="8">
        <f t="shared" si="106"/>
        <v>89.48</v>
      </c>
      <c r="Z70" s="8">
        <f t="shared" si="104"/>
        <v>0</v>
      </c>
    </row>
    <row r="71" spans="2:26" x14ac:dyDescent="0.25">
      <c r="B71" s="2" t="s">
        <v>851</v>
      </c>
      <c r="C71" s="6" t="s">
        <v>808</v>
      </c>
      <c r="D71" s="9">
        <v>-1095.0400000000009</v>
      </c>
      <c r="E71" s="8">
        <f>-D71</f>
        <v>1095.0400000000009</v>
      </c>
      <c r="F71" s="8">
        <f t="shared" ref="F71" si="112">D71+E71</f>
        <v>0</v>
      </c>
      <c r="X71" s="8">
        <f t="shared" si="105"/>
        <v>-1095.0400000000009</v>
      </c>
      <c r="Y71" s="8">
        <f t="shared" si="106"/>
        <v>1095.0400000000009</v>
      </c>
      <c r="Z71" s="8">
        <f t="shared" si="104"/>
        <v>0</v>
      </c>
    </row>
    <row r="72" spans="2:26" ht="15.75" thickBot="1" x14ac:dyDescent="0.3">
      <c r="B72" s="2" t="s">
        <v>810</v>
      </c>
      <c r="C72" s="6" t="s">
        <v>809</v>
      </c>
      <c r="L72" s="9">
        <v>-1048.9000000000001</v>
      </c>
      <c r="M72" s="8">
        <f>-L72</f>
        <v>1048.9000000000001</v>
      </c>
      <c r="N72" s="8">
        <f>L72+M72</f>
        <v>0</v>
      </c>
      <c r="X72" s="8">
        <f t="shared" ref="X72" si="113">D72+H72+L72+P72+T72</f>
        <v>-1048.9000000000001</v>
      </c>
      <c r="Y72" s="8">
        <f t="shared" ref="Y72" si="114">E72+I72+M72+Q72+U72</f>
        <v>1048.9000000000001</v>
      </c>
      <c r="Z72" s="8">
        <f t="shared" si="104"/>
        <v>0</v>
      </c>
    </row>
    <row r="73" spans="2:26" x14ac:dyDescent="0.25">
      <c r="B73" s="2" t="s">
        <v>39</v>
      </c>
      <c r="C73" s="2"/>
      <c r="D73" s="26">
        <f>SUM(D66:D72)</f>
        <v>-1095.0400000000009</v>
      </c>
      <c r="E73" s="26">
        <f>SUM(E66:E72)</f>
        <v>1095.0400000000009</v>
      </c>
      <c r="F73" s="26">
        <f>D73+E73</f>
        <v>0</v>
      </c>
      <c r="H73" s="26">
        <f>SUM(H66:H72)</f>
        <v>-3658.35</v>
      </c>
      <c r="I73" s="26">
        <f>SUM(I66:I72)</f>
        <v>3658.35</v>
      </c>
      <c r="J73" s="26">
        <f>H73+I73</f>
        <v>0</v>
      </c>
      <c r="L73" s="26">
        <f>SUM(L66:L72)</f>
        <v>-1048.9000000000001</v>
      </c>
      <c r="M73" s="26">
        <f>SUM(M66:M72)</f>
        <v>1048.9000000000001</v>
      </c>
      <c r="N73" s="26">
        <f>L73+M73</f>
        <v>0</v>
      </c>
      <c r="P73" s="26">
        <f>SUM(P66:P72)</f>
        <v>-48025.48</v>
      </c>
      <c r="Q73" s="26">
        <f>SUM(Q66:Q72)</f>
        <v>54378.030000000006</v>
      </c>
      <c r="R73" s="26">
        <f>P73+Q73</f>
        <v>6352.5500000000029</v>
      </c>
      <c r="S73" s="1"/>
      <c r="T73" s="26">
        <f>SUM(T66:T72)</f>
        <v>-6352.5499999999993</v>
      </c>
      <c r="U73" s="26">
        <f>SUM(U66:U72)</f>
        <v>0</v>
      </c>
      <c r="V73" s="26">
        <f>T73+U73</f>
        <v>-6352.5499999999993</v>
      </c>
      <c r="X73" s="26">
        <f>SUM(X66:X72)</f>
        <v>-60180.320000000007</v>
      </c>
      <c r="Y73" s="26">
        <f>SUM(Y66:Y72)</f>
        <v>60180.320000000007</v>
      </c>
      <c r="Z73" s="26">
        <f t="shared" si="104"/>
        <v>0</v>
      </c>
    </row>
    <row r="74" spans="2:26" x14ac:dyDescent="0.25">
      <c r="L74" s="1"/>
      <c r="M74" s="1"/>
      <c r="N74" s="1"/>
      <c r="P74" s="1"/>
      <c r="Q74" s="1"/>
      <c r="R74" s="1"/>
    </row>
    <row r="75" spans="2:26" x14ac:dyDescent="0.25">
      <c r="B75" s="2" t="s">
        <v>777</v>
      </c>
      <c r="C75" s="2"/>
      <c r="D75" s="8">
        <f>D7+D15+D31+D35+D63+D73</f>
        <v>35639.72999999996</v>
      </c>
      <c r="E75" s="8">
        <f>E7+E15+E31+E35+E63+E73</f>
        <v>198970.98</v>
      </c>
      <c r="F75" s="8">
        <f>D75+E75</f>
        <v>234610.70999999996</v>
      </c>
      <c r="H75" s="8">
        <f>H7+H15+H31+H35+H63+H73</f>
        <v>137796.86000000002</v>
      </c>
      <c r="I75" s="8">
        <f>I7+I15+I31+I35+I63+I73</f>
        <v>361478.74</v>
      </c>
      <c r="J75" s="8">
        <f>H75+I75</f>
        <v>499275.6</v>
      </c>
      <c r="L75" s="8">
        <f>L7+L15+L31+L35+L63+L73</f>
        <v>1342.4399999999964</v>
      </c>
      <c r="M75" s="8">
        <f>M7+M15+M31+M35+M63+M73</f>
        <v>57584.02</v>
      </c>
      <c r="N75" s="8">
        <f>L75+M75</f>
        <v>58926.459999999992</v>
      </c>
      <c r="P75" s="8">
        <f>P7+P15+P31+P35+P63+P73</f>
        <v>91391.860000000073</v>
      </c>
      <c r="Q75" s="8">
        <f>Q7+Q15+Q31+Q35+Q63+Q73</f>
        <v>322565.57999999984</v>
      </c>
      <c r="R75" s="8">
        <f>P75+Q75</f>
        <v>413957.43999999994</v>
      </c>
      <c r="T75" s="8">
        <f>T7+T15+T31+T35+T63+T73</f>
        <v>0</v>
      </c>
      <c r="U75" s="8">
        <f>U7+U15+U31+U35+U63+U73</f>
        <v>0</v>
      </c>
      <c r="V75" s="8">
        <f>T75+U75</f>
        <v>0</v>
      </c>
      <c r="X75" s="8">
        <f>D75+H75+L75+P75+T75</f>
        <v>266170.89</v>
      </c>
      <c r="Y75" s="8">
        <f>E75+I75+M75+Q75+U75</f>
        <v>940599.31999999983</v>
      </c>
      <c r="Z75" s="8">
        <f>X75+Y75</f>
        <v>1206770.21</v>
      </c>
    </row>
    <row r="77" spans="2:26" x14ac:dyDescent="0.25">
      <c r="B77" s="5" t="s">
        <v>778</v>
      </c>
      <c r="C77" s="5"/>
      <c r="L77" s="1"/>
      <c r="M77" s="1"/>
      <c r="N77" s="1"/>
      <c r="P77" s="1"/>
    </row>
    <row r="78" spans="2:26" x14ac:dyDescent="0.25">
      <c r="B78" s="2" t="s">
        <v>854</v>
      </c>
      <c r="C78" s="6" t="s">
        <v>856</v>
      </c>
      <c r="L78" s="9">
        <v>30759</v>
      </c>
      <c r="M78" s="8">
        <f>-L78</f>
        <v>-30759</v>
      </c>
      <c r="N78" s="8">
        <f>L78+M78</f>
        <v>0</v>
      </c>
      <c r="P78" s="9">
        <v>60000</v>
      </c>
      <c r="Q78" s="8">
        <f>-P78</f>
        <v>-60000</v>
      </c>
      <c r="R78" s="8">
        <f>P78+Q78</f>
        <v>0</v>
      </c>
      <c r="X78" s="8">
        <f t="shared" ref="X78:Y85" si="115">D78+H78+L78+P78+T78</f>
        <v>90759</v>
      </c>
      <c r="Y78" s="8">
        <f t="shared" si="115"/>
        <v>-90759</v>
      </c>
      <c r="Z78" s="8">
        <f t="shared" ref="Z78:Z85" si="116">X78+Y78</f>
        <v>0</v>
      </c>
    </row>
    <row r="79" spans="2:26" x14ac:dyDescent="0.25">
      <c r="B79" s="2" t="s">
        <v>857</v>
      </c>
      <c r="C79" s="6" t="s">
        <v>856</v>
      </c>
      <c r="D79" s="9">
        <v>150161</v>
      </c>
      <c r="E79" s="8">
        <f>-D79</f>
        <v>-150161</v>
      </c>
      <c r="F79" s="8">
        <f>D79+E79</f>
        <v>0</v>
      </c>
      <c r="L79" s="1"/>
      <c r="M79" s="1"/>
      <c r="N79" s="1"/>
      <c r="P79" s="1"/>
      <c r="X79" s="8">
        <f t="shared" si="115"/>
        <v>150161</v>
      </c>
      <c r="Y79" s="8">
        <f t="shared" si="115"/>
        <v>-150161</v>
      </c>
      <c r="Z79" s="8">
        <f t="shared" si="116"/>
        <v>0</v>
      </c>
    </row>
    <row r="80" spans="2:26" x14ac:dyDescent="0.25">
      <c r="B80" s="2" t="s">
        <v>858</v>
      </c>
      <c r="C80" s="6" t="s">
        <v>859</v>
      </c>
      <c r="L80" s="1"/>
      <c r="M80" s="1"/>
      <c r="N80" s="1"/>
      <c r="P80" s="9">
        <f>102072.94-P78</f>
        <v>42072.94</v>
      </c>
      <c r="Q80" s="8">
        <f>-P80</f>
        <v>-42072.94</v>
      </c>
      <c r="R80" s="8">
        <f>P80+Q80</f>
        <v>0</v>
      </c>
      <c r="X80" s="8">
        <f t="shared" si="115"/>
        <v>42072.94</v>
      </c>
      <c r="Y80" s="8">
        <f t="shared" si="115"/>
        <v>-42072.94</v>
      </c>
      <c r="Z80" s="8">
        <f t="shared" si="116"/>
        <v>0</v>
      </c>
    </row>
    <row r="81" spans="1:26" x14ac:dyDescent="0.25">
      <c r="B81" s="2" t="s">
        <v>865</v>
      </c>
      <c r="C81" s="6" t="s">
        <v>862</v>
      </c>
      <c r="H81" s="9">
        <v>153000</v>
      </c>
      <c r="I81" s="8">
        <f>-H81</f>
        <v>-153000</v>
      </c>
      <c r="J81" s="12">
        <f>H81+I81</f>
        <v>0</v>
      </c>
      <c r="L81" s="1"/>
      <c r="M81" s="1"/>
      <c r="N81" s="1"/>
      <c r="P81" s="1"/>
      <c r="X81" s="8">
        <f t="shared" si="115"/>
        <v>153000</v>
      </c>
      <c r="Y81" s="8">
        <f t="shared" si="115"/>
        <v>-153000</v>
      </c>
      <c r="Z81" s="8">
        <f t="shared" si="116"/>
        <v>0</v>
      </c>
    </row>
    <row r="82" spans="1:26" x14ac:dyDescent="0.25">
      <c r="B82" s="2" t="s">
        <v>864</v>
      </c>
      <c r="C82" s="6" t="s">
        <v>863</v>
      </c>
      <c r="H82" s="9">
        <v>19434</v>
      </c>
      <c r="I82" s="8">
        <f>-H82</f>
        <v>-19434</v>
      </c>
      <c r="J82" s="12">
        <f>H82+I82</f>
        <v>0</v>
      </c>
      <c r="L82" s="1"/>
      <c r="M82" s="1"/>
      <c r="N82" s="1"/>
      <c r="P82" s="1"/>
      <c r="X82" s="8">
        <f t="shared" si="115"/>
        <v>19434</v>
      </c>
      <c r="Y82" s="8">
        <f t="shared" si="115"/>
        <v>-19434</v>
      </c>
      <c r="Z82" s="8">
        <f t="shared" si="116"/>
        <v>0</v>
      </c>
    </row>
    <row r="83" spans="1:26" x14ac:dyDescent="0.25">
      <c r="B83" s="2" t="s">
        <v>872</v>
      </c>
      <c r="C83" s="6" t="s">
        <v>873</v>
      </c>
      <c r="E83" s="1"/>
      <c r="F83" s="1"/>
      <c r="H83" s="9">
        <v>158972</v>
      </c>
      <c r="I83" s="8">
        <f>-H83</f>
        <v>-158972</v>
      </c>
      <c r="J83" s="8">
        <f t="shared" ref="J83" si="117">H83+I83</f>
        <v>0</v>
      </c>
      <c r="L83" s="1"/>
      <c r="M83" s="1"/>
      <c r="N83" s="1"/>
      <c r="P83" s="1"/>
      <c r="X83" s="8">
        <f t="shared" si="115"/>
        <v>158972</v>
      </c>
      <c r="Y83" s="8">
        <f t="shared" si="115"/>
        <v>-158972</v>
      </c>
      <c r="Z83" s="8">
        <f t="shared" si="116"/>
        <v>0</v>
      </c>
    </row>
    <row r="84" spans="1:26" ht="15.75" thickBot="1" x14ac:dyDescent="0.3">
      <c r="B84" s="2" t="s">
        <v>244</v>
      </c>
      <c r="C84" s="2"/>
      <c r="D84" s="14">
        <v>0</v>
      </c>
      <c r="E84" s="14">
        <v>0</v>
      </c>
      <c r="F84" s="8">
        <f>D84+E84</f>
        <v>0</v>
      </c>
      <c r="H84" s="14">
        <v>0</v>
      </c>
      <c r="I84" s="14">
        <v>0</v>
      </c>
      <c r="J84" s="12">
        <f>H84+I84</f>
        <v>0</v>
      </c>
      <c r="L84" s="14">
        <v>0</v>
      </c>
      <c r="M84" s="14">
        <v>0</v>
      </c>
      <c r="N84" s="8">
        <f>L84+M84</f>
        <v>0</v>
      </c>
      <c r="P84" s="14">
        <v>0</v>
      </c>
      <c r="Q84" s="14">
        <v>0</v>
      </c>
      <c r="R84" s="8">
        <f>P84+Q84</f>
        <v>0</v>
      </c>
      <c r="T84" s="14">
        <v>0</v>
      </c>
      <c r="U84" s="14">
        <v>0</v>
      </c>
      <c r="V84" s="8">
        <f>T84+U84</f>
        <v>0</v>
      </c>
      <c r="X84" s="8">
        <f t="shared" si="115"/>
        <v>0</v>
      </c>
      <c r="Y84" s="8">
        <f t="shared" si="115"/>
        <v>0</v>
      </c>
      <c r="Z84" s="8">
        <f t="shared" si="116"/>
        <v>0</v>
      </c>
    </row>
    <row r="85" spans="1:26" x14ac:dyDescent="0.25">
      <c r="B85" s="2" t="s">
        <v>779</v>
      </c>
      <c r="C85" s="2"/>
      <c r="D85" s="26">
        <f>SUM(D78:D84)</f>
        <v>150161</v>
      </c>
      <c r="E85" s="26">
        <f>SUM(E78:E84)</f>
        <v>-150161</v>
      </c>
      <c r="F85" s="26">
        <f>D85+E85</f>
        <v>0</v>
      </c>
      <c r="H85" s="26">
        <f>SUM(H78:H84)</f>
        <v>331406</v>
      </c>
      <c r="I85" s="26">
        <f>SUM(I78:I84)</f>
        <v>-331406</v>
      </c>
      <c r="J85" s="26">
        <f>H85+I85</f>
        <v>0</v>
      </c>
      <c r="L85" s="26">
        <f>SUM(L78:L84)</f>
        <v>30759</v>
      </c>
      <c r="M85" s="26">
        <f>SUM(M78:M84)</f>
        <v>-30759</v>
      </c>
      <c r="N85" s="26">
        <f>L85+M85</f>
        <v>0</v>
      </c>
      <c r="P85" s="26">
        <f>SUM(P78:P84)</f>
        <v>102072.94</v>
      </c>
      <c r="Q85" s="26">
        <f>SUM(Q78:Q84)</f>
        <v>-102072.94</v>
      </c>
      <c r="R85" s="26">
        <f>P85+Q85</f>
        <v>0</v>
      </c>
      <c r="S85" s="1"/>
      <c r="T85" s="26">
        <f>SUM(T78:T84)</f>
        <v>0</v>
      </c>
      <c r="U85" s="26">
        <f>SUM(U78:U84)</f>
        <v>0</v>
      </c>
      <c r="V85" s="26">
        <f>T85+U85</f>
        <v>0</v>
      </c>
      <c r="X85" s="26">
        <f t="shared" si="115"/>
        <v>614398.93999999994</v>
      </c>
      <c r="Y85" s="26">
        <f t="shared" si="115"/>
        <v>-614398.93999999994</v>
      </c>
      <c r="Z85" s="26">
        <f t="shared" si="116"/>
        <v>0</v>
      </c>
    </row>
    <row r="86" spans="1:26" x14ac:dyDescent="0.25">
      <c r="B86" s="2"/>
      <c r="C86" s="2"/>
    </row>
    <row r="87" spans="1:26" ht="15.75" thickBot="1" x14ac:dyDescent="0.3">
      <c r="B87" s="2" t="s">
        <v>780</v>
      </c>
      <c r="C87" s="2"/>
      <c r="D87" s="17">
        <f>ROUND(D75+D85,2)</f>
        <v>185800.73</v>
      </c>
      <c r="E87" s="17">
        <f>ROUND(E75+E85,2)</f>
        <v>48809.98</v>
      </c>
      <c r="F87" s="17">
        <f>D87+E87</f>
        <v>234610.71000000002</v>
      </c>
      <c r="H87" s="17">
        <f>ROUND(H75+H85,2)</f>
        <v>469202.86</v>
      </c>
      <c r="I87" s="17">
        <f>ROUND(I75+I85,2)</f>
        <v>30072.74</v>
      </c>
      <c r="J87" s="17">
        <f>H87+I87</f>
        <v>499275.6</v>
      </c>
      <c r="L87" s="17">
        <f>ROUND(L75+L85,2)</f>
        <v>32101.439999999999</v>
      </c>
      <c r="M87" s="17">
        <f>ROUND(M75+M85,2)</f>
        <v>26825.02</v>
      </c>
      <c r="N87" s="17">
        <f>L87+M87</f>
        <v>58926.46</v>
      </c>
      <c r="P87" s="17">
        <f>ROUND(P75+P85,2)</f>
        <v>193464.8</v>
      </c>
      <c r="Q87" s="17">
        <f>ROUND(Q75+Q85,2)</f>
        <v>220492.64</v>
      </c>
      <c r="R87" s="17">
        <f>P87+Q87</f>
        <v>413957.44</v>
      </c>
      <c r="T87" s="17">
        <f>ROUND(T75+T85,2)</f>
        <v>0</v>
      </c>
      <c r="U87" s="17">
        <f>ROUND(U75+U85,2)</f>
        <v>0</v>
      </c>
      <c r="V87" s="17">
        <f>T87+U87</f>
        <v>0</v>
      </c>
      <c r="X87" s="17">
        <f>D87+H87+L87+P87+T87</f>
        <v>880569.82999999984</v>
      </c>
      <c r="Y87" s="17">
        <f>E87+I87+M87+Q87+U87</f>
        <v>326200.38</v>
      </c>
      <c r="Z87" s="17">
        <f>X87+Y87</f>
        <v>1206770.21</v>
      </c>
    </row>
    <row r="88" spans="1:26" ht="15.75" thickTop="1" x14ac:dyDescent="0.25">
      <c r="B88" s="2"/>
      <c r="C88" s="2"/>
    </row>
    <row r="89" spans="1:26" x14ac:dyDescent="0.25">
      <c r="B89" s="2"/>
      <c r="C89" s="2"/>
      <c r="D89" s="1"/>
      <c r="L89" s="1"/>
    </row>
    <row r="90" spans="1:26" x14ac:dyDescent="0.25">
      <c r="A90" s="35" t="s">
        <v>54</v>
      </c>
      <c r="B90" s="35"/>
      <c r="C90" s="19"/>
      <c r="D90" s="1"/>
      <c r="L90" s="1"/>
    </row>
    <row r="92" spans="1:26" x14ac:dyDescent="0.25">
      <c r="B92" s="5" t="s">
        <v>781</v>
      </c>
      <c r="C92" s="5"/>
      <c r="T92" s="1"/>
    </row>
    <row r="93" spans="1:26" x14ac:dyDescent="0.25">
      <c r="B93" s="2" t="s">
        <v>782</v>
      </c>
      <c r="C93" s="2"/>
      <c r="D93" s="9">
        <v>0</v>
      </c>
      <c r="E93" s="9">
        <f>ROUND(900000/10,2)</f>
        <v>90000</v>
      </c>
      <c r="F93" s="8">
        <f>D93+E93</f>
        <v>90000</v>
      </c>
      <c r="H93" s="9">
        <v>0</v>
      </c>
      <c r="I93" s="9">
        <f>ROUND(900000/10,2)</f>
        <v>90000</v>
      </c>
      <c r="J93" s="8">
        <f>H93+I93</f>
        <v>90000</v>
      </c>
      <c r="L93" s="9">
        <v>0</v>
      </c>
      <c r="M93" s="9">
        <f>ROUND(900000/10,2)</f>
        <v>90000</v>
      </c>
      <c r="N93" s="8">
        <f>L93+M93</f>
        <v>90000</v>
      </c>
      <c r="P93" s="9">
        <v>0</v>
      </c>
      <c r="Q93" s="9">
        <f>900000-E93-I93-M93</f>
        <v>630000</v>
      </c>
      <c r="R93" s="8">
        <f>P93+Q93</f>
        <v>630000</v>
      </c>
      <c r="T93" s="1"/>
      <c r="U93" s="1"/>
      <c r="V93" s="1"/>
      <c r="X93" s="8">
        <f t="shared" ref="X93:Z96" si="118">D93+H93+L93+P93+T93</f>
        <v>0</v>
      </c>
      <c r="Y93" s="8">
        <f t="shared" si="118"/>
        <v>900000</v>
      </c>
      <c r="Z93" s="8">
        <f t="shared" si="118"/>
        <v>900000</v>
      </c>
    </row>
    <row r="94" spans="1:26" x14ac:dyDescent="0.25">
      <c r="B94" s="2" t="s">
        <v>783</v>
      </c>
      <c r="C94" s="2"/>
      <c r="D94" s="9">
        <v>0</v>
      </c>
      <c r="E94" s="9">
        <f>ROUND(900000*0.25/10,2)</f>
        <v>22500</v>
      </c>
      <c r="F94" s="8">
        <f>D94+E94</f>
        <v>22500</v>
      </c>
      <c r="H94" s="9">
        <v>0</v>
      </c>
      <c r="I94" s="9">
        <f>ROUND(900000*0.25/10,2)</f>
        <v>22500</v>
      </c>
      <c r="J94" s="8">
        <f>H94+I94</f>
        <v>22500</v>
      </c>
      <c r="L94" s="9">
        <v>0</v>
      </c>
      <c r="M94" s="9">
        <f>ROUND(900000*0.25/10,2)</f>
        <v>22500</v>
      </c>
      <c r="N94" s="8">
        <f>L94+M94</f>
        <v>22500</v>
      </c>
      <c r="P94" s="9">
        <v>0</v>
      </c>
      <c r="Q94" s="9">
        <f>900000*0.25-E94-I94-M94</f>
        <v>157500</v>
      </c>
      <c r="R94" s="8">
        <f>P94+Q94</f>
        <v>157500</v>
      </c>
      <c r="X94" s="8">
        <f t="shared" si="118"/>
        <v>0</v>
      </c>
      <c r="Y94" s="8">
        <f t="shared" si="118"/>
        <v>225000</v>
      </c>
      <c r="Z94" s="8">
        <f t="shared" si="118"/>
        <v>225000</v>
      </c>
    </row>
    <row r="95" spans="1:26" ht="15.75" thickBot="1" x14ac:dyDescent="0.3">
      <c r="B95" s="2" t="s">
        <v>784</v>
      </c>
      <c r="C95" s="2"/>
      <c r="D95" s="14">
        <v>0</v>
      </c>
      <c r="E95" s="9">
        <f>7410/10</f>
        <v>741</v>
      </c>
      <c r="F95" s="15">
        <f>D95+E95</f>
        <v>741</v>
      </c>
      <c r="H95" s="14">
        <v>0</v>
      </c>
      <c r="I95" s="9">
        <f>7410/10</f>
        <v>741</v>
      </c>
      <c r="J95" s="15">
        <f>H95+I95</f>
        <v>741</v>
      </c>
      <c r="L95" s="14">
        <v>0</v>
      </c>
      <c r="M95" s="9">
        <f>7410/10</f>
        <v>741</v>
      </c>
      <c r="N95" s="15">
        <f>L95+M95</f>
        <v>741</v>
      </c>
      <c r="P95" s="14">
        <v>0</v>
      </c>
      <c r="Q95" s="14">
        <f>7410-E95-I95-M95</f>
        <v>5187</v>
      </c>
      <c r="R95" s="15">
        <f>P95+Q95</f>
        <v>5187</v>
      </c>
      <c r="X95" s="15">
        <f t="shared" si="118"/>
        <v>0</v>
      </c>
      <c r="Y95" s="15">
        <f t="shared" si="118"/>
        <v>7410</v>
      </c>
      <c r="Z95" s="15">
        <f t="shared" si="118"/>
        <v>7410</v>
      </c>
    </row>
    <row r="96" spans="1:26" x14ac:dyDescent="0.25">
      <c r="B96" s="2" t="s">
        <v>785</v>
      </c>
      <c r="C96" s="2"/>
      <c r="D96" s="26">
        <f>SUM(D93:D95)</f>
        <v>0</v>
      </c>
      <c r="E96" s="26">
        <f>SUM(E93:E95)</f>
        <v>113241</v>
      </c>
      <c r="F96" s="26">
        <f>D96+E96</f>
        <v>113241</v>
      </c>
      <c r="H96" s="26">
        <f>SUM(H93:H95)</f>
        <v>0</v>
      </c>
      <c r="I96" s="26">
        <f>SUM(I93:I95)</f>
        <v>113241</v>
      </c>
      <c r="J96" s="26">
        <f>H96+I96</f>
        <v>113241</v>
      </c>
      <c r="L96" s="26">
        <f>SUM(L93:L95)</f>
        <v>0</v>
      </c>
      <c r="M96" s="26">
        <f>SUM(M93:M95)</f>
        <v>113241</v>
      </c>
      <c r="N96" s="26">
        <f>L96+M96</f>
        <v>113241</v>
      </c>
      <c r="P96" s="26">
        <f>SUM(P93:P95)</f>
        <v>0</v>
      </c>
      <c r="Q96" s="26">
        <f>SUM(Q93:Q95)</f>
        <v>792687</v>
      </c>
      <c r="R96" s="26">
        <f>P96+Q96</f>
        <v>792687</v>
      </c>
      <c r="S96" s="1"/>
      <c r="T96" s="26">
        <f>SUM(T93:T95)</f>
        <v>0</v>
      </c>
      <c r="U96" s="26">
        <f>SUM(U93:U95)</f>
        <v>0</v>
      </c>
      <c r="V96" s="26">
        <f>T96+U96</f>
        <v>0</v>
      </c>
      <c r="X96" s="26">
        <f t="shared" si="118"/>
        <v>0</v>
      </c>
      <c r="Y96" s="26">
        <f t="shared" si="118"/>
        <v>1132410</v>
      </c>
      <c r="Z96" s="26">
        <f t="shared" si="118"/>
        <v>1132410</v>
      </c>
    </row>
    <row r="97" spans="2:26" x14ac:dyDescent="0.25">
      <c r="B97" s="2"/>
      <c r="C97" s="2"/>
      <c r="P97" s="1"/>
    </row>
    <row r="98" spans="2:26" x14ac:dyDescent="0.25">
      <c r="B98" s="5" t="s">
        <v>874</v>
      </c>
      <c r="C98" s="5"/>
      <c r="T98" s="1"/>
    </row>
    <row r="99" spans="2:26" x14ac:dyDescent="0.25">
      <c r="B99" s="2" t="s">
        <v>7</v>
      </c>
      <c r="C99" s="2"/>
      <c r="D99" s="1"/>
      <c r="E99" s="1"/>
      <c r="F99" s="1"/>
      <c r="H99" s="1"/>
      <c r="I99" s="1"/>
      <c r="J99" s="1"/>
      <c r="P99" s="9">
        <v>0</v>
      </c>
      <c r="Q99" s="8">
        <f>-T99</f>
        <v>-19000</v>
      </c>
      <c r="R99" s="8">
        <f t="shared" ref="R99:R100" si="119">P99+Q99</f>
        <v>-19000</v>
      </c>
      <c r="T99" s="9">
        <v>19000</v>
      </c>
      <c r="U99" s="9">
        <v>0</v>
      </c>
      <c r="V99" s="8">
        <f>T99+U99</f>
        <v>19000</v>
      </c>
      <c r="X99" s="8">
        <f t="shared" ref="X99:Z112" si="120">D99+H99+L99+P99+T99</f>
        <v>19000</v>
      </c>
      <c r="Y99" s="8">
        <f t="shared" si="120"/>
        <v>-19000</v>
      </c>
      <c r="Z99" s="8">
        <f t="shared" ref="Z99:Z101" si="121">X99+Y99</f>
        <v>0</v>
      </c>
    </row>
    <row r="100" spans="2:26" x14ac:dyDescent="0.25">
      <c r="B100" s="2" t="s">
        <v>52</v>
      </c>
      <c r="C100" s="5"/>
      <c r="D100" s="1"/>
      <c r="E100" s="1"/>
      <c r="F100" s="1"/>
      <c r="H100" s="1"/>
      <c r="I100" s="1"/>
      <c r="J100" s="1"/>
      <c r="P100" s="9">
        <v>0</v>
      </c>
      <c r="Q100" s="8">
        <f>-T100</f>
        <v>-10000</v>
      </c>
      <c r="R100" s="8">
        <f t="shared" si="119"/>
        <v>-10000</v>
      </c>
      <c r="T100" s="9">
        <v>10000</v>
      </c>
      <c r="U100" s="9">
        <v>0</v>
      </c>
      <c r="V100" s="8">
        <f>T100+U100</f>
        <v>10000</v>
      </c>
      <c r="X100" s="8">
        <f t="shared" si="120"/>
        <v>10000</v>
      </c>
      <c r="Y100" s="8">
        <f t="shared" si="120"/>
        <v>-10000</v>
      </c>
      <c r="Z100" s="8">
        <f t="shared" si="121"/>
        <v>0</v>
      </c>
    </row>
    <row r="101" spans="2:26" x14ac:dyDescent="0.25">
      <c r="B101" s="2" t="s">
        <v>686</v>
      </c>
      <c r="C101" s="6" t="s">
        <v>647</v>
      </c>
      <c r="D101" s="1"/>
      <c r="E101" s="1"/>
      <c r="F101" s="1"/>
      <c r="H101" s="1"/>
      <c r="I101" s="1"/>
      <c r="J101" s="1"/>
      <c r="P101" s="9">
        <f>69702 + 100000 + 32764.94</f>
        <v>202466.94</v>
      </c>
      <c r="Q101" s="8">
        <f>-P101</f>
        <v>-202466.94</v>
      </c>
      <c r="R101" s="8">
        <f>P101+Q101</f>
        <v>0</v>
      </c>
      <c r="X101" s="8">
        <f t="shared" si="120"/>
        <v>202466.94</v>
      </c>
      <c r="Y101" s="8">
        <f t="shared" si="120"/>
        <v>-202466.94</v>
      </c>
      <c r="Z101" s="8">
        <f t="shared" si="121"/>
        <v>0</v>
      </c>
    </row>
    <row r="102" spans="2:26" x14ac:dyDescent="0.25">
      <c r="B102" s="2" t="s">
        <v>852</v>
      </c>
      <c r="C102" s="6" t="s">
        <v>853</v>
      </c>
      <c r="E102" s="1"/>
      <c r="F102" s="1"/>
      <c r="H102" s="1"/>
      <c r="I102" s="1"/>
      <c r="J102" s="1"/>
      <c r="L102" s="9">
        <v>4000</v>
      </c>
      <c r="M102" s="8">
        <f>-L102</f>
        <v>-4000</v>
      </c>
      <c r="N102" s="8">
        <f t="shared" ref="N102" si="122">L102+M102</f>
        <v>0</v>
      </c>
      <c r="P102" s="9">
        <v>66000</v>
      </c>
      <c r="Q102" s="8">
        <f>-P102</f>
        <v>-66000</v>
      </c>
      <c r="R102" s="8">
        <f t="shared" ref="R102:R103" si="123">P102+Q102</f>
        <v>0</v>
      </c>
      <c r="X102" s="8">
        <f t="shared" si="120"/>
        <v>70000</v>
      </c>
      <c r="Y102" s="8">
        <f t="shared" si="120"/>
        <v>-70000</v>
      </c>
      <c r="Z102" s="8">
        <f t="shared" si="120"/>
        <v>0</v>
      </c>
    </row>
    <row r="103" spans="2:26" x14ac:dyDescent="0.25">
      <c r="B103" s="2" t="s">
        <v>854</v>
      </c>
      <c r="C103" s="6" t="s">
        <v>855</v>
      </c>
      <c r="E103" s="1"/>
      <c r="F103" s="1"/>
      <c r="H103" s="1"/>
      <c r="I103" s="1"/>
      <c r="J103" s="1"/>
      <c r="L103" s="9">
        <v>140000</v>
      </c>
      <c r="M103" s="8">
        <f>-L103</f>
        <v>-140000</v>
      </c>
      <c r="N103" s="8">
        <f t="shared" ref="N103" si="124">L103+M103</f>
        <v>0</v>
      </c>
      <c r="P103" s="9">
        <v>60000</v>
      </c>
      <c r="Q103" s="8">
        <f>-P103</f>
        <v>-60000</v>
      </c>
      <c r="R103" s="8">
        <f t="shared" si="123"/>
        <v>0</v>
      </c>
      <c r="X103" s="8">
        <f t="shared" si="120"/>
        <v>200000</v>
      </c>
      <c r="Y103" s="8">
        <f t="shared" si="120"/>
        <v>-200000</v>
      </c>
      <c r="Z103" s="8">
        <f t="shared" si="120"/>
        <v>0</v>
      </c>
    </row>
    <row r="104" spans="2:26" x14ac:dyDescent="0.25">
      <c r="B104" s="2" t="s">
        <v>857</v>
      </c>
      <c r="C104" s="6" t="s">
        <v>856</v>
      </c>
      <c r="D104" s="9">
        <v>200000</v>
      </c>
      <c r="E104" s="8">
        <f>-D104</f>
        <v>-200000</v>
      </c>
      <c r="F104" s="8">
        <f t="shared" ref="F104" si="125">D104+E104</f>
        <v>0</v>
      </c>
      <c r="H104" s="1"/>
      <c r="I104" s="1"/>
      <c r="J104" s="1"/>
      <c r="M104" s="1"/>
      <c r="N104" s="1"/>
      <c r="X104" s="8">
        <f t="shared" si="120"/>
        <v>200000</v>
      </c>
      <c r="Y104" s="8">
        <f t="shared" si="120"/>
        <v>-200000</v>
      </c>
      <c r="Z104" s="8">
        <f t="shared" si="120"/>
        <v>0</v>
      </c>
    </row>
    <row r="105" spans="2:26" x14ac:dyDescent="0.25">
      <c r="B105" s="2" t="s">
        <v>858</v>
      </c>
      <c r="C105" s="6" t="s">
        <v>859</v>
      </c>
      <c r="E105" s="1"/>
      <c r="F105" s="1"/>
      <c r="H105" s="1"/>
      <c r="I105" s="1"/>
      <c r="J105" s="1"/>
      <c r="M105" s="1"/>
      <c r="N105" s="1"/>
      <c r="P105" s="9">
        <v>100000</v>
      </c>
      <c r="Q105" s="8">
        <f>-P105</f>
        <v>-100000</v>
      </c>
      <c r="R105" s="8">
        <f t="shared" ref="R105" si="126">P105+Q105</f>
        <v>0</v>
      </c>
      <c r="X105" s="8">
        <f t="shared" si="120"/>
        <v>100000</v>
      </c>
      <c r="Y105" s="8">
        <f t="shared" si="120"/>
        <v>-100000</v>
      </c>
      <c r="Z105" s="8">
        <f t="shared" si="120"/>
        <v>0</v>
      </c>
    </row>
    <row r="106" spans="2:26" x14ac:dyDescent="0.25">
      <c r="B106" s="2" t="s">
        <v>860</v>
      </c>
      <c r="C106" s="6" t="s">
        <v>861</v>
      </c>
      <c r="D106" s="9">
        <v>63402</v>
      </c>
      <c r="E106" s="8">
        <f>-D106</f>
        <v>-63402</v>
      </c>
      <c r="F106" s="8">
        <f t="shared" ref="F106" si="127">D106+E106</f>
        <v>0</v>
      </c>
      <c r="H106" s="1"/>
      <c r="I106" s="1"/>
      <c r="J106" s="1"/>
      <c r="M106" s="1"/>
      <c r="N106" s="1"/>
      <c r="X106" s="8">
        <f t="shared" si="120"/>
        <v>63402</v>
      </c>
      <c r="Y106" s="8">
        <f t="shared" si="120"/>
        <v>-63402</v>
      </c>
      <c r="Z106" s="8">
        <f t="shared" si="120"/>
        <v>0</v>
      </c>
    </row>
    <row r="107" spans="2:26" x14ac:dyDescent="0.25">
      <c r="B107" s="2" t="s">
        <v>865</v>
      </c>
      <c r="C107" s="6" t="s">
        <v>862</v>
      </c>
      <c r="E107" s="1"/>
      <c r="F107" s="1"/>
      <c r="H107" s="9">
        <v>153000</v>
      </c>
      <c r="I107" s="8">
        <f>-H107</f>
        <v>-153000</v>
      </c>
      <c r="J107" s="8">
        <f t="shared" ref="J107:J108" si="128">H107+I107</f>
        <v>0</v>
      </c>
      <c r="M107" s="1"/>
      <c r="N107" s="1"/>
      <c r="X107" s="8">
        <f t="shared" si="120"/>
        <v>153000</v>
      </c>
      <c r="Y107" s="8">
        <f t="shared" si="120"/>
        <v>-153000</v>
      </c>
      <c r="Z107" s="8">
        <f t="shared" si="120"/>
        <v>0</v>
      </c>
    </row>
    <row r="108" spans="2:26" x14ac:dyDescent="0.25">
      <c r="B108" s="2" t="s">
        <v>864</v>
      </c>
      <c r="C108" s="6" t="s">
        <v>863</v>
      </c>
      <c r="E108" s="1"/>
      <c r="F108" s="1"/>
      <c r="H108" s="9">
        <v>70000</v>
      </c>
      <c r="I108" s="8">
        <f>-H108</f>
        <v>-70000</v>
      </c>
      <c r="J108" s="8">
        <f t="shared" si="128"/>
        <v>0</v>
      </c>
      <c r="M108" s="1"/>
      <c r="N108" s="1"/>
      <c r="X108" s="8">
        <f t="shared" si="120"/>
        <v>70000</v>
      </c>
      <c r="Y108" s="8">
        <f t="shared" si="120"/>
        <v>-70000</v>
      </c>
      <c r="Z108" s="8">
        <f t="shared" si="120"/>
        <v>0</v>
      </c>
    </row>
    <row r="109" spans="2:26" x14ac:dyDescent="0.25">
      <c r="B109" s="2" t="s">
        <v>866</v>
      </c>
      <c r="C109" s="6" t="s">
        <v>867</v>
      </c>
      <c r="E109" s="1"/>
      <c r="F109" s="1"/>
      <c r="H109" s="1"/>
      <c r="I109" s="1"/>
      <c r="J109" s="1"/>
      <c r="M109" s="1"/>
      <c r="N109" s="1"/>
      <c r="P109" s="9">
        <v>84330</v>
      </c>
      <c r="Q109" s="8">
        <f>-P109</f>
        <v>-84330</v>
      </c>
      <c r="R109" s="8">
        <f t="shared" ref="R109:R110" si="129">P109+Q109</f>
        <v>0</v>
      </c>
      <c r="X109" s="8">
        <f t="shared" si="120"/>
        <v>84330</v>
      </c>
      <c r="Y109" s="8">
        <f t="shared" si="120"/>
        <v>-84330</v>
      </c>
      <c r="Z109" s="8">
        <f t="shared" si="120"/>
        <v>0</v>
      </c>
    </row>
    <row r="110" spans="2:26" x14ac:dyDescent="0.25">
      <c r="B110" s="2" t="s">
        <v>868</v>
      </c>
      <c r="C110" s="6" t="s">
        <v>869</v>
      </c>
      <c r="E110" s="1"/>
      <c r="F110" s="1"/>
      <c r="H110" s="1"/>
      <c r="I110" s="1"/>
      <c r="J110" s="1"/>
      <c r="M110" s="1"/>
      <c r="N110" s="1"/>
      <c r="P110" s="9">
        <v>352963</v>
      </c>
      <c r="Q110" s="8">
        <f>-P110</f>
        <v>-352963</v>
      </c>
      <c r="R110" s="8">
        <f t="shared" si="129"/>
        <v>0</v>
      </c>
      <c r="X110" s="8">
        <f t="shared" si="120"/>
        <v>352963</v>
      </c>
      <c r="Y110" s="8">
        <f t="shared" si="120"/>
        <v>-352963</v>
      </c>
      <c r="Z110" s="8">
        <f t="shared" si="120"/>
        <v>0</v>
      </c>
    </row>
    <row r="111" spans="2:26" x14ac:dyDescent="0.25">
      <c r="B111" s="2" t="s">
        <v>870</v>
      </c>
      <c r="C111" s="6" t="s">
        <v>871</v>
      </c>
      <c r="E111" s="1"/>
      <c r="F111" s="1"/>
      <c r="H111" s="9">
        <v>62675</v>
      </c>
      <c r="I111" s="8">
        <f>-H111</f>
        <v>-62675</v>
      </c>
      <c r="J111" s="8">
        <f t="shared" ref="J111:J112" si="130">H111+I111</f>
        <v>0</v>
      </c>
      <c r="M111" s="1"/>
      <c r="N111" s="1"/>
      <c r="X111" s="8">
        <f t="shared" si="120"/>
        <v>62675</v>
      </c>
      <c r="Y111" s="8">
        <f t="shared" si="120"/>
        <v>-62675</v>
      </c>
      <c r="Z111" s="8">
        <f t="shared" si="120"/>
        <v>0</v>
      </c>
    </row>
    <row r="112" spans="2:26" ht="15.75" thickBot="1" x14ac:dyDescent="0.3">
      <c r="B112" s="2" t="s">
        <v>872</v>
      </c>
      <c r="C112" s="6" t="s">
        <v>873</v>
      </c>
      <c r="E112" s="1"/>
      <c r="F112" s="1"/>
      <c r="H112" s="9">
        <v>158972</v>
      </c>
      <c r="I112" s="8">
        <f>-H112</f>
        <v>-158972</v>
      </c>
      <c r="J112" s="8">
        <f t="shared" si="130"/>
        <v>0</v>
      </c>
      <c r="M112" s="1"/>
      <c r="N112" s="1"/>
      <c r="X112" s="8">
        <f t="shared" si="120"/>
        <v>158972</v>
      </c>
      <c r="Y112" s="8">
        <f t="shared" si="120"/>
        <v>-158972</v>
      </c>
      <c r="Z112" s="8">
        <f t="shared" si="120"/>
        <v>0</v>
      </c>
    </row>
    <row r="113" spans="2:26" x14ac:dyDescent="0.25">
      <c r="B113" s="2" t="s">
        <v>786</v>
      </c>
      <c r="C113" s="2"/>
      <c r="D113" s="26">
        <f>SUM(D99:D112)</f>
        <v>263402</v>
      </c>
      <c r="E113" s="26">
        <f>SUM(E99:E112)</f>
        <v>-263402</v>
      </c>
      <c r="F113" s="26">
        <f>D113+E113</f>
        <v>0</v>
      </c>
      <c r="H113" s="26">
        <f>SUM(H99:H112)</f>
        <v>444647</v>
      </c>
      <c r="I113" s="26">
        <f>SUM(I99:I112)</f>
        <v>-444647</v>
      </c>
      <c r="J113" s="26">
        <f>H113+I113</f>
        <v>0</v>
      </c>
      <c r="L113" s="26">
        <f>SUM(L99:L112)</f>
        <v>144000</v>
      </c>
      <c r="M113" s="26">
        <f>SUM(M99:M112)</f>
        <v>-144000</v>
      </c>
      <c r="N113" s="26">
        <f>L113+M113</f>
        <v>0</v>
      </c>
      <c r="P113" s="26">
        <f>SUM(P99:P112)</f>
        <v>865759.94</v>
      </c>
      <c r="Q113" s="26">
        <f>SUM(Q99:Q112)</f>
        <v>-894759.94</v>
      </c>
      <c r="R113" s="26">
        <f>P113+Q113</f>
        <v>-29000</v>
      </c>
      <c r="S113" s="1"/>
      <c r="T113" s="26">
        <f>SUM(T99:T112)</f>
        <v>29000</v>
      </c>
      <c r="U113" s="26">
        <f>SUM(U99:U112)</f>
        <v>0</v>
      </c>
      <c r="V113" s="26">
        <f>T113+U113</f>
        <v>29000</v>
      </c>
      <c r="X113" s="26">
        <f t="shared" ref="X113:Z113" si="131">D113+H113+L113+P113+T113</f>
        <v>1746808.94</v>
      </c>
      <c r="Y113" s="26">
        <f t="shared" si="131"/>
        <v>-1746808.94</v>
      </c>
      <c r="Z113" s="26">
        <f t="shared" si="131"/>
        <v>0</v>
      </c>
    </row>
    <row r="114" spans="2:26" x14ac:dyDescent="0.25">
      <c r="B114" s="2"/>
      <c r="C114" s="2"/>
    </row>
    <row r="115" spans="2:26" x14ac:dyDescent="0.25">
      <c r="B115" s="2" t="s">
        <v>787</v>
      </c>
      <c r="C115" s="2"/>
      <c r="D115" s="8">
        <f>D96+D113</f>
        <v>263402</v>
      </c>
      <c r="E115" s="8">
        <f>E96+E113</f>
        <v>-150161</v>
      </c>
      <c r="F115" s="8">
        <f>D115+E115</f>
        <v>113241</v>
      </c>
      <c r="H115" s="8">
        <f>H96+H113</f>
        <v>444647</v>
      </c>
      <c r="I115" s="8">
        <f>I96+I113</f>
        <v>-331406</v>
      </c>
      <c r="J115" s="8">
        <f>H115+I115</f>
        <v>113241</v>
      </c>
      <c r="L115" s="8">
        <f>L96+L113</f>
        <v>144000</v>
      </c>
      <c r="M115" s="8">
        <f>M96+M113</f>
        <v>-30759</v>
      </c>
      <c r="N115" s="8">
        <f>L115+M115</f>
        <v>113241</v>
      </c>
      <c r="P115" s="8">
        <f>P96+P113</f>
        <v>865759.94</v>
      </c>
      <c r="Q115" s="8">
        <f>Q96+Q113</f>
        <v>-102072.93999999994</v>
      </c>
      <c r="R115" s="8">
        <f>P115+Q115</f>
        <v>763687</v>
      </c>
      <c r="T115" s="8">
        <f>T96+T113</f>
        <v>29000</v>
      </c>
      <c r="U115" s="8">
        <f>U96+U113</f>
        <v>0</v>
      </c>
      <c r="V115" s="8">
        <f>T115+U115</f>
        <v>29000</v>
      </c>
      <c r="X115" s="8">
        <f>D115+H115+L115+P115+T115</f>
        <v>1746808.94</v>
      </c>
      <c r="Y115" s="8">
        <f>E115+I115+M115+Q115+U115</f>
        <v>-614398.93999999994</v>
      </c>
      <c r="Z115" s="8">
        <f>F115+J115+N115+R115+V115</f>
        <v>1132410</v>
      </c>
    </row>
    <row r="116" spans="2:26" x14ac:dyDescent="0.25">
      <c r="B116" s="2"/>
      <c r="C116" s="2"/>
    </row>
    <row r="117" spans="2:26" x14ac:dyDescent="0.25">
      <c r="J117" s="1"/>
      <c r="L117" s="1"/>
    </row>
    <row r="118" spans="2:26" x14ac:dyDescent="0.25">
      <c r="D118" t="s">
        <v>72</v>
      </c>
      <c r="J118" s="1"/>
    </row>
    <row r="119" spans="2:26" x14ac:dyDescent="0.25">
      <c r="D119" s="2"/>
    </row>
    <row r="120" spans="2:26" x14ac:dyDescent="0.25">
      <c r="D120" s="29">
        <v>1</v>
      </c>
      <c r="E120" t="str">
        <f>" An encumbrance of " &amp; TEXT(-E115,"$#,#.00") &amp; " will need to be made to the Community Housing Reserve and applied to the $200,000.00 FY26 Housing Fund project to insure no shortfall occurs in the Community Housing Reserve account in FY2026."</f>
        <v xml:space="preserve"> An encumbrance of $150,161.00 will need to be made to the Community Housing Reserve and applied to the $200,000.00 FY26 Housing Fund project to insure no shortfall occurs in the Community Housing Reserve account in FY2026.</v>
      </c>
    </row>
    <row r="121" spans="2:26" x14ac:dyDescent="0.25">
      <c r="D121" s="29">
        <v>2</v>
      </c>
      <c r="E121" t="str">
        <f>" An encumbrance of " &amp; TEXT(-I115,"$#,#.00") &amp; " will need to be made to the Historic Reserve and applied to the $153,000.00 Bancroft Castle, $70,000.00 Prescott Community Center, $62,675.00 Boutwell Curatorial Storage"</f>
        <v xml:space="preserve"> An encumbrance of $331,406.00 will need to be made to the Historic Reserve and applied to the $153,000.00 Bancroft Castle, $70,000.00 Prescott Community Center, $62,675.00 Boutwell Curatorial Storage</v>
      </c>
    </row>
    <row r="122" spans="2:26" x14ac:dyDescent="0.25">
      <c r="D122" s="29"/>
      <c r="E122" t="s">
        <v>886</v>
      </c>
    </row>
    <row r="123" spans="2:26" x14ac:dyDescent="0.25">
      <c r="D123" s="29">
        <v>3</v>
      </c>
      <c r="E123" t="str">
        <f>" An encumbrance of " &amp; TEXT(-M115,"$#,#.00") &amp; " will need to be made to the Open Space Reserve applied to the $140,000.00 FY26 Conservation Fund project to insure no shortfall occurs in the Open Space Reserve account in FY2026."</f>
        <v xml:space="preserve"> An encumbrance of $30,759.00 will need to be made to the Open Space Reserve applied to the $140,000.00 FY26 Conservation Fund project to insure no shortfall occurs in the Open Space Reserve account in FY2026.</v>
      </c>
    </row>
    <row r="124" spans="2:26" x14ac:dyDescent="0.25">
      <c r="D124" s="29">
        <v>4</v>
      </c>
      <c r="E124" t="str">
        <f>" An encumbrance of " &amp; TEXT(-Q115,"$#,#.00") &amp; " will need to be made to the Unallocated Reserve applied to the $60,000.00 FY26 Conservation Fund and $46,072.94 Cow Pond Brook Fields project to insure no shortfall occurs in the Unallocated Reserve account in FY2026."</f>
        <v xml:space="preserve"> An encumbrance of $102,072.94 will need to be made to the Unallocated Reserve applied to the $60,000.00 FY26 Conservation Fund and $46,072.94 Cow Pond Brook Fields project to insure no shortfall occurs in the Unallocated Reserve account in FY2026.</v>
      </c>
    </row>
    <row r="127" spans="2:26" x14ac:dyDescent="0.25">
      <c r="D127" t="s">
        <v>788</v>
      </c>
    </row>
    <row r="129" spans="4:26" x14ac:dyDescent="0.25">
      <c r="D129" s="36" t="s">
        <v>3</v>
      </c>
      <c r="E129" s="36"/>
      <c r="F129" s="36"/>
      <c r="H129" s="36" t="s">
        <v>4</v>
      </c>
      <c r="I129" s="36"/>
      <c r="J129" s="36"/>
      <c r="L129" s="36" t="s">
        <v>2</v>
      </c>
      <c r="M129" s="36"/>
      <c r="N129" s="36"/>
      <c r="P129" s="36" t="s">
        <v>13</v>
      </c>
      <c r="Q129" s="36"/>
      <c r="R129" s="36"/>
      <c r="T129" s="36" t="s">
        <v>879</v>
      </c>
      <c r="U129" s="36"/>
      <c r="V129" s="36"/>
      <c r="X129" s="36" t="s">
        <v>846</v>
      </c>
      <c r="Y129" s="36"/>
      <c r="Z129" s="36"/>
    </row>
    <row r="130" spans="4:26" x14ac:dyDescent="0.25">
      <c r="D130" s="6"/>
      <c r="E130" s="6"/>
      <c r="F130" s="6"/>
      <c r="H130" s="6"/>
      <c r="I130" s="6"/>
      <c r="J130" s="6"/>
    </row>
    <row r="131" spans="4:26" x14ac:dyDescent="0.25">
      <c r="E131" s="6" t="s">
        <v>110</v>
      </c>
      <c r="F131" s="6" t="s">
        <v>111</v>
      </c>
      <c r="I131" s="6" t="s">
        <v>110</v>
      </c>
      <c r="J131" s="6" t="s">
        <v>111</v>
      </c>
      <c r="M131" s="6" t="s">
        <v>110</v>
      </c>
      <c r="N131" s="6" t="s">
        <v>111</v>
      </c>
      <c r="Q131" s="6" t="s">
        <v>110</v>
      </c>
      <c r="R131" s="6" t="s">
        <v>111</v>
      </c>
      <c r="T131" s="6"/>
      <c r="U131" s="6" t="s">
        <v>843</v>
      </c>
      <c r="V131" s="6" t="s">
        <v>111</v>
      </c>
      <c r="X131" s="6"/>
      <c r="Y131" s="6" t="s">
        <v>843</v>
      </c>
      <c r="Z131" s="6" t="s">
        <v>111</v>
      </c>
    </row>
    <row r="132" spans="4:26" x14ac:dyDescent="0.25">
      <c r="E132" s="6"/>
      <c r="F132" s="6"/>
    </row>
    <row r="133" spans="4:26" x14ac:dyDescent="0.25">
      <c r="E133" s="2" t="s">
        <v>635</v>
      </c>
      <c r="F133" s="11">
        <v>52624.5</v>
      </c>
      <c r="I133" s="2" t="s">
        <v>800</v>
      </c>
      <c r="J133" s="9">
        <v>87799</v>
      </c>
      <c r="M133" s="2" t="s">
        <v>759</v>
      </c>
      <c r="N133" s="9">
        <v>0</v>
      </c>
      <c r="Q133" s="2" t="s">
        <v>469</v>
      </c>
      <c r="R133" s="9">
        <v>833</v>
      </c>
      <c r="U133" s="2" t="s">
        <v>842</v>
      </c>
      <c r="V133" s="31">
        <v>1312873.5</v>
      </c>
      <c r="Y133" s="2" t="s">
        <v>839</v>
      </c>
      <c r="Z133" s="30" t="s">
        <v>844</v>
      </c>
    </row>
    <row r="134" spans="4:26" x14ac:dyDescent="0.25">
      <c r="E134" s="2" t="s">
        <v>814</v>
      </c>
      <c r="F134" s="11">
        <v>355699</v>
      </c>
      <c r="I134" s="2" t="s">
        <v>789</v>
      </c>
      <c r="J134" s="9">
        <v>9058.35</v>
      </c>
      <c r="M134" s="2" t="s">
        <v>641</v>
      </c>
      <c r="N134" s="9">
        <v>30232</v>
      </c>
      <c r="Q134" s="2" t="s">
        <v>631</v>
      </c>
      <c r="R134" s="9">
        <v>6163.75</v>
      </c>
      <c r="U134" s="2" t="s">
        <v>841</v>
      </c>
      <c r="V134" s="31">
        <v>0</v>
      </c>
      <c r="Y134" s="2" t="s">
        <v>841</v>
      </c>
      <c r="Z134" s="30" t="s">
        <v>844</v>
      </c>
    </row>
    <row r="135" spans="4:26" x14ac:dyDescent="0.25">
      <c r="E135" s="2" t="s">
        <v>113</v>
      </c>
      <c r="F135" s="13">
        <f>SUM(F133:F134)</f>
        <v>408323.5</v>
      </c>
      <c r="I135" s="2" t="s">
        <v>113</v>
      </c>
      <c r="J135" s="13">
        <f>SUM(J133:J134)</f>
        <v>96857.35</v>
      </c>
      <c r="M135" s="2" t="s">
        <v>793</v>
      </c>
      <c r="N135" s="9">
        <v>3600</v>
      </c>
      <c r="Q135" s="2" t="s">
        <v>632</v>
      </c>
      <c r="R135" s="9">
        <v>1968.24</v>
      </c>
      <c r="U135" s="2" t="s">
        <v>840</v>
      </c>
      <c r="V135" s="32">
        <f>V133+V134</f>
        <v>1312873.5</v>
      </c>
      <c r="Y135" s="2" t="s">
        <v>840</v>
      </c>
      <c r="Z135" s="33" t="s">
        <v>844</v>
      </c>
    </row>
    <row r="136" spans="4:26" x14ac:dyDescent="0.25">
      <c r="M136" s="2" t="s">
        <v>113</v>
      </c>
      <c r="N136" s="13">
        <f>SUM(N133:N135)</f>
        <v>33832</v>
      </c>
      <c r="Q136" s="2" t="s">
        <v>637</v>
      </c>
      <c r="R136" s="9">
        <v>4549.8599999999997</v>
      </c>
    </row>
    <row r="137" spans="4:26" x14ac:dyDescent="0.25">
      <c r="Q137" s="2" t="s">
        <v>641</v>
      </c>
      <c r="R137" s="9">
        <v>200000</v>
      </c>
    </row>
    <row r="138" spans="4:26" x14ac:dyDescent="0.25">
      <c r="Q138" s="2" t="s">
        <v>675</v>
      </c>
      <c r="R138" s="9">
        <v>59854</v>
      </c>
    </row>
    <row r="139" spans="4:26" x14ac:dyDescent="0.25">
      <c r="Q139" s="2" t="s">
        <v>761</v>
      </c>
      <c r="R139" s="9">
        <v>4000</v>
      </c>
    </row>
    <row r="140" spans="4:26" x14ac:dyDescent="0.25">
      <c r="Q140" s="2" t="s">
        <v>763</v>
      </c>
      <c r="R140" s="9">
        <v>80000</v>
      </c>
    </row>
    <row r="141" spans="4:26" x14ac:dyDescent="0.25">
      <c r="Q141" s="2" t="s">
        <v>765</v>
      </c>
      <c r="R141" s="9">
        <v>90000</v>
      </c>
    </row>
    <row r="142" spans="4:26" x14ac:dyDescent="0.25">
      <c r="Q142" s="2" t="s">
        <v>113</v>
      </c>
      <c r="R142" s="13">
        <f>SUM(R133:R141)</f>
        <v>447368.85</v>
      </c>
    </row>
    <row r="143" spans="4:26" x14ac:dyDescent="0.25">
      <c r="D143" s="6" t="s">
        <v>118</v>
      </c>
      <c r="E143" s="1"/>
    </row>
    <row r="144" spans="4:26" x14ac:dyDescent="0.25">
      <c r="D144" s="2" t="s">
        <v>58</v>
      </c>
      <c r="E144" t="str">
        <f>"FY2026 local surtax revenue will be " &amp; TEXT(Z93,"$#,0") &amp; " or " &amp; TEXT('FY25'!Z10 +'FY25'!Z11 - Z93, "$#,0.00") &amp; " less than in FY2025"</f>
        <v>FY2026 local surtax revenue will be $900,000 or $168,987.93 less than in FY2025</v>
      </c>
    </row>
    <row r="145" spans="4:5" x14ac:dyDescent="0.25">
      <c r="D145" s="2" t="s">
        <v>60</v>
      </c>
      <c r="E145" t="str">
        <f>"FY2026 state match revenue (expected on 15 November 2025) will be " &amp; TEXT(Z94,"$#,0.00") &amp; " or " &amp; TEXT(Z94/Z10,"0.0%") &amp; " of the FY2025 local surtax revenue"</f>
        <v>FY2026 state match revenue (expected on 15 November 2025) will be $225,000.00 or 21.0% of the FY2025 local surtax revenue</v>
      </c>
    </row>
    <row r="146" spans="4:5" x14ac:dyDescent="0.25">
      <c r="D146" s="2" t="s">
        <v>109</v>
      </c>
      <c r="E146" t="str">
        <f>"FY2026 interest earned will be " &amp; TEXT(Z95,"$#,0.00")</f>
        <v>FY2026 interest earned will be $7,410.00</v>
      </c>
    </row>
    <row r="147" spans="4:5" x14ac:dyDescent="0.25">
      <c r="D147" s="2"/>
    </row>
    <row r="148" spans="4:5" x14ac:dyDescent="0.25">
      <c r="D148" s="2"/>
    </row>
    <row r="149" spans="4:5" x14ac:dyDescent="0.25">
      <c r="D149" s="2"/>
    </row>
    <row r="150" spans="4:5" x14ac:dyDescent="0.25">
      <c r="D150" s="2"/>
    </row>
    <row r="151" spans="4:5" x14ac:dyDescent="0.25">
      <c r="D151" s="2"/>
    </row>
    <row r="152" spans="4:5" x14ac:dyDescent="0.25">
      <c r="D152" s="2"/>
    </row>
    <row r="153" spans="4:5" x14ac:dyDescent="0.25">
      <c r="D153" s="2"/>
    </row>
  </sheetData>
  <mergeCells count="13">
    <mergeCell ref="T129:V129"/>
    <mergeCell ref="X129:Z129"/>
    <mergeCell ref="X4:Z4"/>
    <mergeCell ref="D4:F4"/>
    <mergeCell ref="H4:J4"/>
    <mergeCell ref="L4:N4"/>
    <mergeCell ref="P4:R4"/>
    <mergeCell ref="T4:V4"/>
    <mergeCell ref="A90:B90"/>
    <mergeCell ref="D129:F129"/>
    <mergeCell ref="H129:J129"/>
    <mergeCell ref="L129:N129"/>
    <mergeCell ref="P129:R129"/>
  </mergeCells>
  <printOptions horizontalCentered="1"/>
  <pageMargins left="0.25" right="0.25" top="0.75" bottom="0.75" header="0.3" footer="0.3"/>
  <pageSetup paperSize="5" scale="54" fitToHeight="0" orientation="landscape" r:id="rId1"/>
  <headerFooter>
    <oddFooter>&amp;L&amp;F&amp;CPage &amp;P of &amp;N&amp;R29 April 2025</oddFooter>
  </headerFooter>
  <rowBreaks count="1" manualBreakCount="1">
    <brk id="8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pageSetUpPr fitToPage="1"/>
  </sheetPr>
  <dimension ref="A2:AA150"/>
  <sheetViews>
    <sheetView zoomScaleNormal="100" workbookViewId="0">
      <pane xSplit="2" ySplit="6" topLeftCell="C116" activePane="bottomRight" state="frozen"/>
      <selection activeCell="G1" sqref="G1"/>
      <selection pane="topRight" activeCell="G1" sqref="G1"/>
      <selection pane="bottomLeft" activeCell="G1" sqref="G1"/>
      <selection pane="bottomRight" activeCell="A136" sqref="A136"/>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3.7109375" customWidth="1"/>
    <col min="18" max="18" width="14.71093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7" x14ac:dyDescent="0.25">
      <c r="D2" t="s">
        <v>820</v>
      </c>
    </row>
    <row r="4" spans="2:27"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652</v>
      </c>
      <c r="C7" s="2"/>
      <c r="D7" s="8">
        <f>ROUND('FY23'!D84,2)</f>
        <v>204265.5</v>
      </c>
      <c r="E7" s="8">
        <f>ROUND('FY23'!E84,2)</f>
        <v>493090.4</v>
      </c>
      <c r="F7" s="8">
        <f>D7+E7</f>
        <v>697355.9</v>
      </c>
      <c r="H7" s="8">
        <f>ROUND('FY23'!H84,2)</f>
        <v>84391.37</v>
      </c>
      <c r="I7" s="8">
        <f>ROUND('FY23'!I84,2)</f>
        <v>208633.83</v>
      </c>
      <c r="J7" s="8">
        <f>H7+I7</f>
        <v>293025.19999999995</v>
      </c>
      <c r="L7" s="8">
        <f>ROUND('FY23'!L84,2)</f>
        <v>30232</v>
      </c>
      <c r="M7" s="8">
        <f>ROUND('FY23'!M84,2)</f>
        <v>15698.58</v>
      </c>
      <c r="N7" s="8">
        <f>L7+M7</f>
        <v>45930.58</v>
      </c>
      <c r="P7" s="8">
        <f>ROUND('FY23'!P84,2)</f>
        <v>311082.07</v>
      </c>
      <c r="Q7" s="8">
        <f>ROUND('FY23'!Q84,2)</f>
        <v>130254.31</v>
      </c>
      <c r="R7" s="8">
        <f>P7+Q7</f>
        <v>441336.38</v>
      </c>
      <c r="T7" s="8">
        <f>ROUND('FY23'!T84,2)</f>
        <v>0</v>
      </c>
      <c r="U7" s="8">
        <f>ROUND('FY23'!U84,2)</f>
        <v>0</v>
      </c>
      <c r="V7" s="8">
        <f>T7+U7</f>
        <v>0</v>
      </c>
      <c r="X7" s="8">
        <f>D7+H7+L7+P7+T7</f>
        <v>629970.93999999994</v>
      </c>
      <c r="Y7" s="8">
        <f>E7+I7+M7+Q7+U7</f>
        <v>847677.11999999988</v>
      </c>
      <c r="Z7" s="8">
        <f>F7+J7+N7+R7+V7</f>
        <v>1477648.06</v>
      </c>
    </row>
    <row r="9" spans="2:27" x14ac:dyDescent="0.25">
      <c r="B9" s="5" t="s">
        <v>11</v>
      </c>
      <c r="C9" s="5"/>
      <c r="T9" s="1"/>
      <c r="U9" s="1"/>
      <c r="V9" s="1"/>
    </row>
    <row r="10" spans="2:27" x14ac:dyDescent="0.25">
      <c r="B10" s="2" t="s">
        <v>707</v>
      </c>
      <c r="C10" s="2"/>
      <c r="D10" s="9">
        <v>0</v>
      </c>
      <c r="E10" s="9">
        <f>ROUND(1029809.39/10,2)</f>
        <v>102980.94</v>
      </c>
      <c r="F10" s="8">
        <f t="shared" ref="F10:F15" si="0">D10+E10</f>
        <v>102980.94</v>
      </c>
      <c r="H10" s="9">
        <v>0</v>
      </c>
      <c r="I10" s="9">
        <f>ROUND(1029809.39/10,2)</f>
        <v>102980.94</v>
      </c>
      <c r="J10" s="8">
        <f t="shared" ref="J10:J15" si="1">H10+I10</f>
        <v>102980.94</v>
      </c>
      <c r="L10" s="9">
        <v>0</v>
      </c>
      <c r="M10" s="9">
        <f>ROUND(1029809.39/10,2)</f>
        <v>102980.94</v>
      </c>
      <c r="N10" s="8">
        <f t="shared" ref="N10:N15" si="2">L10+M10</f>
        <v>102980.94</v>
      </c>
      <c r="P10" s="9">
        <v>0</v>
      </c>
      <c r="Q10" s="9">
        <f>1029809.39-E10-I10-M10</f>
        <v>720866.57000000007</v>
      </c>
      <c r="R10" s="8">
        <f t="shared" ref="R10:R15" si="3">P10+Q10</f>
        <v>720866.57000000007</v>
      </c>
      <c r="T10" s="1"/>
      <c r="U10" s="1"/>
      <c r="V10" s="1"/>
      <c r="X10" s="8">
        <f t="shared" ref="X10:Z15" si="4">D10+H10+L10+P10+T10</f>
        <v>0</v>
      </c>
      <c r="Y10" s="8">
        <f t="shared" si="4"/>
        <v>1029809.3900000001</v>
      </c>
      <c r="Z10" s="8">
        <f t="shared" si="4"/>
        <v>1029809.3900000001</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666</v>
      </c>
      <c r="C12" s="2"/>
      <c r="D12" s="9">
        <v>0</v>
      </c>
      <c r="E12" s="9">
        <f>(203128+86482)/10</f>
        <v>28961</v>
      </c>
      <c r="F12" s="8">
        <f t="shared" si="0"/>
        <v>28961</v>
      </c>
      <c r="H12" s="9">
        <v>0</v>
      </c>
      <c r="I12" s="9">
        <f>(203128+86482)/10</f>
        <v>28961</v>
      </c>
      <c r="J12" s="8">
        <f t="shared" si="1"/>
        <v>28961</v>
      </c>
      <c r="L12" s="9">
        <v>0</v>
      </c>
      <c r="M12" s="9">
        <f>(203128+86482)/10</f>
        <v>28961</v>
      </c>
      <c r="N12" s="8">
        <f t="shared" si="2"/>
        <v>28961</v>
      </c>
      <c r="P12" s="9">
        <v>0</v>
      </c>
      <c r="Q12" s="9">
        <f>(203128+86482)-E12-I12-M12</f>
        <v>202727</v>
      </c>
      <c r="R12" s="8">
        <f t="shared" si="3"/>
        <v>202727</v>
      </c>
      <c r="T12" s="1"/>
      <c r="U12" s="1"/>
      <c r="V12" s="1"/>
      <c r="X12" s="8">
        <f t="shared" si="4"/>
        <v>0</v>
      </c>
      <c r="Y12" s="8">
        <f t="shared" si="4"/>
        <v>289610</v>
      </c>
      <c r="Z12" s="8">
        <f t="shared" si="4"/>
        <v>289610</v>
      </c>
      <c r="AA12" s="27"/>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7" ht="15.75" thickBot="1" x14ac:dyDescent="0.3">
      <c r="B14" s="2" t="s">
        <v>690</v>
      </c>
      <c r="C14" s="2"/>
      <c r="D14" s="9">
        <v>0</v>
      </c>
      <c r="E14" s="9">
        <f>ROUND(52716.31/10,2)</f>
        <v>5271.63</v>
      </c>
      <c r="F14" s="15">
        <f t="shared" si="0"/>
        <v>5271.63</v>
      </c>
      <c r="H14" s="14">
        <v>0</v>
      </c>
      <c r="I14" s="9">
        <f>ROUND(52716.31/10,2)</f>
        <v>5271.63</v>
      </c>
      <c r="J14" s="15">
        <f t="shared" si="1"/>
        <v>5271.63</v>
      </c>
      <c r="L14" s="14">
        <v>0</v>
      </c>
      <c r="M14" s="9">
        <f>ROUND(52716.31/10,2)</f>
        <v>5271.63</v>
      </c>
      <c r="N14" s="15">
        <f t="shared" si="2"/>
        <v>5271.63</v>
      </c>
      <c r="P14" s="14">
        <v>0</v>
      </c>
      <c r="Q14" s="14">
        <f>52716.31-E14-I14-M14</f>
        <v>36901.420000000006</v>
      </c>
      <c r="R14" s="15">
        <f t="shared" si="3"/>
        <v>36901.420000000006</v>
      </c>
      <c r="T14" s="1"/>
      <c r="U14" s="1"/>
      <c r="V14" s="1"/>
      <c r="X14" s="15">
        <f t="shared" si="4"/>
        <v>0</v>
      </c>
      <c r="Y14" s="15">
        <f t="shared" si="4"/>
        <v>52716.310000000005</v>
      </c>
      <c r="Z14" s="15">
        <f t="shared" si="4"/>
        <v>52716.310000000005</v>
      </c>
    </row>
    <row r="15" spans="2:27" x14ac:dyDescent="0.25">
      <c r="B15" s="2" t="s">
        <v>28</v>
      </c>
      <c r="C15" s="2"/>
      <c r="D15" s="26">
        <f>SUM(D10:D14)</f>
        <v>0</v>
      </c>
      <c r="E15" s="26">
        <f>SUM(E10:E14)</f>
        <v>137213.57</v>
      </c>
      <c r="F15" s="26">
        <f t="shared" si="0"/>
        <v>137213.57</v>
      </c>
      <c r="H15" s="26">
        <f>SUM(H10:H14)</f>
        <v>0</v>
      </c>
      <c r="I15" s="26">
        <f>SUM(I10:I14)</f>
        <v>137213.57</v>
      </c>
      <c r="J15" s="26">
        <f t="shared" si="1"/>
        <v>137213.57</v>
      </c>
      <c r="L15" s="26">
        <f>SUM(L10:L14)</f>
        <v>0</v>
      </c>
      <c r="M15" s="26">
        <f>SUM(M10:M14)</f>
        <v>137213.57</v>
      </c>
      <c r="N15" s="26">
        <f t="shared" si="2"/>
        <v>137213.57</v>
      </c>
      <c r="P15" s="26">
        <f>SUM(P10:P14)</f>
        <v>0</v>
      </c>
      <c r="Q15" s="26">
        <f>SUM(Q10:Q14)</f>
        <v>960494.99000000011</v>
      </c>
      <c r="R15" s="26">
        <f t="shared" si="3"/>
        <v>960494.99000000011</v>
      </c>
      <c r="S15" s="1"/>
      <c r="T15" s="26">
        <f>SUM(T10:T14)</f>
        <v>0</v>
      </c>
      <c r="U15" s="26">
        <f>SUM(U10:U14)</f>
        <v>0</v>
      </c>
      <c r="V15" s="26">
        <f>T15+U15</f>
        <v>0</v>
      </c>
      <c r="X15" s="26">
        <f t="shared" si="4"/>
        <v>0</v>
      </c>
      <c r="Y15" s="26">
        <f t="shared" si="4"/>
        <v>1372135.7000000002</v>
      </c>
      <c r="Z15" s="26">
        <f t="shared" si="4"/>
        <v>1372135.7000000002</v>
      </c>
    </row>
    <row r="17" spans="2:26" x14ac:dyDescent="0.25">
      <c r="B17" s="5" t="s">
        <v>691</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-15000</v>
      </c>
      <c r="R18" s="8">
        <f>P18+Q18</f>
        <v>-15000</v>
      </c>
      <c r="T18" s="9">
        <v>15000</v>
      </c>
      <c r="U18" s="9">
        <v>0</v>
      </c>
      <c r="V18" s="8">
        <f>T18+U18</f>
        <v>15000</v>
      </c>
      <c r="X18" s="8">
        <f t="shared" ref="X18:Z29" si="5">D18+H18+L18+P18+T18</f>
        <v>15000</v>
      </c>
      <c r="Y18" s="8">
        <f t="shared" si="5"/>
        <v>-15000</v>
      </c>
      <c r="Z18" s="8">
        <f t="shared" si="5"/>
        <v>0</v>
      </c>
    </row>
    <row r="19" spans="2:26" x14ac:dyDescent="0.25">
      <c r="B19" s="2" t="s">
        <v>52</v>
      </c>
      <c r="C19" s="5"/>
      <c r="E19" s="1"/>
      <c r="F19" s="1"/>
      <c r="H19" s="1"/>
      <c r="I19" s="1"/>
      <c r="J19" s="1"/>
      <c r="M19" s="1"/>
      <c r="N19" s="1"/>
      <c r="P19" s="8">
        <v>0</v>
      </c>
      <c r="Q19" s="8">
        <f>-T19</f>
        <v>-5000</v>
      </c>
      <c r="R19" s="8">
        <f>P19+Q19</f>
        <v>-5000</v>
      </c>
      <c r="T19" s="9">
        <f>3500+1500</f>
        <v>5000</v>
      </c>
      <c r="U19" s="9">
        <v>0</v>
      </c>
      <c r="V19" s="8">
        <f>T19+U19</f>
        <v>5000</v>
      </c>
      <c r="X19" s="8">
        <f t="shared" si="5"/>
        <v>5000</v>
      </c>
      <c r="Y19" s="8">
        <f t="shared" si="5"/>
        <v>-5000</v>
      </c>
      <c r="Z19" s="8">
        <f t="shared" si="5"/>
        <v>0</v>
      </c>
    </row>
    <row r="20" spans="2:26" x14ac:dyDescent="0.25">
      <c r="B20" s="2" t="s">
        <v>891</v>
      </c>
      <c r="C20" s="6" t="s">
        <v>647</v>
      </c>
      <c r="E20" s="1"/>
      <c r="F20" s="1"/>
      <c r="H20" s="1"/>
      <c r="I20" s="1"/>
      <c r="J20" s="1"/>
      <c r="P20" s="9">
        <v>55000</v>
      </c>
      <c r="Q20" s="8">
        <f t="shared" ref="Q20:Q26" si="6">-P20</f>
        <v>-55000</v>
      </c>
      <c r="R20" s="8">
        <f t="shared" ref="R20:R26" si="7">P20+Q20</f>
        <v>0</v>
      </c>
      <c r="X20" s="8">
        <f t="shared" ref="X20" si="8">D20+H20+L20+P20+T20</f>
        <v>55000</v>
      </c>
      <c r="Y20" s="8">
        <f t="shared" ref="Y20" si="9">E20+I20+M20+Q20+U20</f>
        <v>-55000</v>
      </c>
      <c r="Z20" s="8">
        <f t="shared" ref="Z20" si="10">F20+J20+N20+R20+V20</f>
        <v>0</v>
      </c>
    </row>
    <row r="21" spans="2:26" x14ac:dyDescent="0.25">
      <c r="B21" s="2" t="s">
        <v>889</v>
      </c>
      <c r="C21" s="6" t="s">
        <v>685</v>
      </c>
      <c r="E21" s="1"/>
      <c r="F21" s="1"/>
      <c r="H21" s="1"/>
      <c r="I21" s="1"/>
      <c r="J21" s="1"/>
      <c r="P21" s="9">
        <v>0</v>
      </c>
      <c r="Q21" s="8">
        <f t="shared" si="6"/>
        <v>0</v>
      </c>
      <c r="R21" s="8">
        <f t="shared" si="7"/>
        <v>0</v>
      </c>
      <c r="X21" s="8">
        <f t="shared" ref="X21:X22" si="11">D21+H21+L21+P21+T21</f>
        <v>0</v>
      </c>
      <c r="Y21" s="8">
        <f t="shared" ref="Y21:Y22" si="12">E21+I21+M21+Q21+U21</f>
        <v>0</v>
      </c>
      <c r="Z21" s="8">
        <f t="shared" ref="Z21:Z22" si="13">F21+J21+N21+R21+V21</f>
        <v>0</v>
      </c>
    </row>
    <row r="22" spans="2:26" x14ac:dyDescent="0.25">
      <c r="B22" s="2" t="s">
        <v>757</v>
      </c>
      <c r="C22" s="6" t="s">
        <v>758</v>
      </c>
      <c r="D22" s="9">
        <f>200000-148866</f>
        <v>51134</v>
      </c>
      <c r="E22" s="8">
        <f>-D22</f>
        <v>-51134</v>
      </c>
      <c r="F22" s="8">
        <f>D22+E22</f>
        <v>0</v>
      </c>
      <c r="H22" s="1"/>
      <c r="I22" s="1"/>
      <c r="J22" s="1"/>
      <c r="M22" s="1"/>
      <c r="N22" s="1"/>
      <c r="X22" s="8">
        <f t="shared" si="11"/>
        <v>51134</v>
      </c>
      <c r="Y22" s="8">
        <f t="shared" si="12"/>
        <v>-51134</v>
      </c>
      <c r="Z22" s="8">
        <f t="shared" si="13"/>
        <v>0</v>
      </c>
    </row>
    <row r="23" spans="2:26" x14ac:dyDescent="0.25">
      <c r="B23" s="2" t="s">
        <v>761</v>
      </c>
      <c r="C23" s="6" t="s">
        <v>762</v>
      </c>
      <c r="E23" s="1"/>
      <c r="F23" s="1"/>
      <c r="H23" s="1"/>
      <c r="I23" s="1"/>
      <c r="J23" s="1"/>
      <c r="P23" s="9">
        <v>4000</v>
      </c>
      <c r="Q23" s="8">
        <f t="shared" si="6"/>
        <v>-4000</v>
      </c>
      <c r="R23" s="8">
        <f t="shared" si="7"/>
        <v>0</v>
      </c>
      <c r="X23" s="8">
        <f t="shared" ref="X23:X27" si="14">D23+H23+L23+P23+T23</f>
        <v>4000</v>
      </c>
      <c r="Y23" s="8">
        <f t="shared" ref="Y23:Y27" si="15">E23+I23+M23+Q23+U23</f>
        <v>-4000</v>
      </c>
      <c r="Z23" s="8">
        <f t="shared" ref="Z23:Z27" si="16">F23+J23+N23+R23+V23</f>
        <v>0</v>
      </c>
    </row>
    <row r="24" spans="2:26" x14ac:dyDescent="0.25">
      <c r="B24" s="2" t="s">
        <v>759</v>
      </c>
      <c r="C24" s="6" t="s">
        <v>760</v>
      </c>
      <c r="H24" s="1"/>
      <c r="I24" s="1"/>
      <c r="J24" s="1"/>
      <c r="L24" s="9">
        <v>105000</v>
      </c>
      <c r="M24" s="8">
        <f>-L24</f>
        <v>-105000</v>
      </c>
      <c r="N24" s="8">
        <f>L24+M24</f>
        <v>0</v>
      </c>
      <c r="P24" s="9">
        <v>295000</v>
      </c>
      <c r="Q24" s="8">
        <f t="shared" si="6"/>
        <v>-295000</v>
      </c>
      <c r="R24" s="8">
        <f t="shared" si="7"/>
        <v>0</v>
      </c>
      <c r="X24" s="8">
        <f t="shared" si="14"/>
        <v>400000</v>
      </c>
      <c r="Y24" s="8">
        <f t="shared" si="15"/>
        <v>-400000</v>
      </c>
      <c r="Z24" s="8">
        <f t="shared" si="16"/>
        <v>0</v>
      </c>
    </row>
    <row r="25" spans="2:26" x14ac:dyDescent="0.25">
      <c r="B25" s="2" t="s">
        <v>763</v>
      </c>
      <c r="C25" s="6" t="s">
        <v>764</v>
      </c>
      <c r="H25" s="1"/>
      <c r="I25" s="1"/>
      <c r="J25" s="1"/>
      <c r="P25" s="9">
        <v>80000</v>
      </c>
      <c r="Q25" s="8">
        <f t="shared" si="6"/>
        <v>-80000</v>
      </c>
      <c r="R25" s="8">
        <f t="shared" si="7"/>
        <v>0</v>
      </c>
      <c r="X25" s="8">
        <f t="shared" si="14"/>
        <v>80000</v>
      </c>
      <c r="Y25" s="8">
        <f t="shared" si="15"/>
        <v>-80000</v>
      </c>
      <c r="Z25" s="8">
        <f t="shared" si="16"/>
        <v>0</v>
      </c>
    </row>
    <row r="26" spans="2:26" x14ac:dyDescent="0.25">
      <c r="B26" s="2" t="s">
        <v>765</v>
      </c>
      <c r="C26" s="6" t="s">
        <v>766</v>
      </c>
      <c r="H26" s="1"/>
      <c r="I26" s="1"/>
      <c r="J26" s="1"/>
      <c r="P26" s="9">
        <v>90000</v>
      </c>
      <c r="Q26" s="8">
        <f t="shared" si="6"/>
        <v>-90000</v>
      </c>
      <c r="R26" s="8">
        <f t="shared" si="7"/>
        <v>0</v>
      </c>
      <c r="X26" s="8">
        <f t="shared" si="14"/>
        <v>90000</v>
      </c>
      <c r="Y26" s="8">
        <f t="shared" si="15"/>
        <v>-90000</v>
      </c>
      <c r="Z26" s="8">
        <f t="shared" si="16"/>
        <v>0</v>
      </c>
    </row>
    <row r="27" spans="2:26" x14ac:dyDescent="0.25">
      <c r="B27" s="2" t="s">
        <v>768</v>
      </c>
      <c r="C27" s="6" t="s">
        <v>767</v>
      </c>
      <c r="D27" s="9">
        <v>55857</v>
      </c>
      <c r="E27" s="8">
        <f>-D27</f>
        <v>-55857</v>
      </c>
      <c r="F27" s="8">
        <f>D27+E27</f>
        <v>0</v>
      </c>
      <c r="H27" s="1"/>
      <c r="I27" s="1"/>
      <c r="J27" s="1"/>
      <c r="X27" s="8">
        <f t="shared" si="14"/>
        <v>55857</v>
      </c>
      <c r="Y27" s="8">
        <f t="shared" si="15"/>
        <v>-55857</v>
      </c>
      <c r="Z27" s="8">
        <f t="shared" si="16"/>
        <v>0</v>
      </c>
    </row>
    <row r="28" spans="2:26" ht="15.75" thickBot="1" x14ac:dyDescent="0.3">
      <c r="B28" s="2" t="s">
        <v>769</v>
      </c>
      <c r="C28" s="6" t="s">
        <v>770</v>
      </c>
      <c r="H28" s="1"/>
      <c r="I28" s="1"/>
      <c r="J28" s="1"/>
      <c r="P28" s="9">
        <v>90000</v>
      </c>
      <c r="Q28" s="8">
        <f>-P28</f>
        <v>-90000</v>
      </c>
      <c r="R28" s="8">
        <f>P28+Q28</f>
        <v>0</v>
      </c>
      <c r="X28" s="8">
        <f t="shared" si="5"/>
        <v>90000</v>
      </c>
      <c r="Y28" s="8">
        <f t="shared" si="5"/>
        <v>-90000</v>
      </c>
      <c r="Z28" s="8">
        <f t="shared" si="5"/>
        <v>0</v>
      </c>
    </row>
    <row r="29" spans="2:26" x14ac:dyDescent="0.25">
      <c r="B29" s="2" t="s">
        <v>654</v>
      </c>
      <c r="C29" s="2"/>
      <c r="D29" s="26">
        <f>SUM(D18:D28)</f>
        <v>106991</v>
      </c>
      <c r="E29" s="26">
        <f>SUM(E18:E28)</f>
        <v>-106991</v>
      </c>
      <c r="F29" s="26">
        <f>D29+E29</f>
        <v>0</v>
      </c>
      <c r="H29" s="26">
        <f>SUM(H18:H28)</f>
        <v>0</v>
      </c>
      <c r="I29" s="26">
        <f>SUM(I18:I28)</f>
        <v>0</v>
      </c>
      <c r="J29" s="26">
        <f>H29+I29</f>
        <v>0</v>
      </c>
      <c r="L29" s="26">
        <f>SUM(L18:L28)</f>
        <v>105000</v>
      </c>
      <c r="M29" s="26">
        <f>SUM(M18:M28)</f>
        <v>-105000</v>
      </c>
      <c r="N29" s="26">
        <f>L29+M29</f>
        <v>0</v>
      </c>
      <c r="P29" s="26">
        <f>SUM(P18:P28)</f>
        <v>614000</v>
      </c>
      <c r="Q29" s="26">
        <f>SUM(Q18:Q28)</f>
        <v>-634000</v>
      </c>
      <c r="R29" s="26">
        <f>P29+Q29</f>
        <v>-20000</v>
      </c>
      <c r="S29" s="1"/>
      <c r="T29" s="26">
        <f>SUM(T18:T28)</f>
        <v>20000</v>
      </c>
      <c r="U29" s="26">
        <f>SUM(U18:U28)</f>
        <v>0</v>
      </c>
      <c r="V29" s="26">
        <f>T29+U29</f>
        <v>20000</v>
      </c>
      <c r="X29" s="26">
        <f>D29+H29+L29+P29+T29</f>
        <v>845991</v>
      </c>
      <c r="Y29" s="26">
        <f t="shared" si="5"/>
        <v>-845991</v>
      </c>
      <c r="Z29" s="26">
        <f t="shared" si="5"/>
        <v>0</v>
      </c>
    </row>
    <row r="30" spans="2:26" x14ac:dyDescent="0.25">
      <c r="H30" s="1"/>
      <c r="I30" s="1"/>
      <c r="J30" s="1"/>
      <c r="L30" s="1"/>
      <c r="M30" s="1"/>
      <c r="N30" s="1"/>
      <c r="P30" s="1"/>
      <c r="Q30" s="1"/>
      <c r="R30" s="1"/>
    </row>
    <row r="31" spans="2:26" x14ac:dyDescent="0.25">
      <c r="B31" s="5" t="s">
        <v>692</v>
      </c>
      <c r="H31" s="1"/>
      <c r="I31" s="1"/>
      <c r="J31" s="1"/>
      <c r="L31" s="1"/>
      <c r="M31" s="1"/>
      <c r="N31" s="1"/>
      <c r="Q31" s="1"/>
      <c r="R31" s="1"/>
    </row>
    <row r="32" spans="2:26" ht="15.75" thickBot="1" x14ac:dyDescent="0.3">
      <c r="B32" s="2"/>
      <c r="H32" s="1"/>
      <c r="I32" s="1"/>
      <c r="J32" s="1"/>
      <c r="L32" s="1"/>
      <c r="M32" s="1"/>
      <c r="N32" s="1"/>
      <c r="X32" s="8">
        <f t="shared" ref="X32:Z33" si="17">D32+H32+L32+P32+T32</f>
        <v>0</v>
      </c>
      <c r="Y32" s="8">
        <f t="shared" si="17"/>
        <v>0</v>
      </c>
      <c r="Z32" s="8">
        <f t="shared" si="17"/>
        <v>0</v>
      </c>
    </row>
    <row r="33" spans="2:26" x14ac:dyDescent="0.25">
      <c r="B33" s="2" t="s">
        <v>693</v>
      </c>
      <c r="D33" s="26">
        <f>SUM(D32:D32)</f>
        <v>0</v>
      </c>
      <c r="E33" s="26">
        <f>SUM(E32:E32)</f>
        <v>0</v>
      </c>
      <c r="F33" s="26">
        <f>D33+E33</f>
        <v>0</v>
      </c>
      <c r="H33" s="26">
        <f>SUM(H32:H32)</f>
        <v>0</v>
      </c>
      <c r="I33" s="26">
        <f>SUM(I32:I32)</f>
        <v>0</v>
      </c>
      <c r="J33" s="26">
        <f>H33+I33</f>
        <v>0</v>
      </c>
      <c r="L33" s="26">
        <f>SUM(L32:L32)</f>
        <v>0</v>
      </c>
      <c r="M33" s="26">
        <f>SUM(M32:M32)</f>
        <v>0</v>
      </c>
      <c r="N33" s="26">
        <f>L33+M33</f>
        <v>0</v>
      </c>
      <c r="P33" s="26">
        <f>SUM(P32:P32)</f>
        <v>0</v>
      </c>
      <c r="Q33" s="26">
        <f>SUM(Q32:Q32)</f>
        <v>0</v>
      </c>
      <c r="R33" s="26">
        <f>P33+Q33</f>
        <v>0</v>
      </c>
      <c r="S33" s="1"/>
      <c r="T33" s="26">
        <f>SUM(T32:T32)</f>
        <v>0</v>
      </c>
      <c r="U33" s="26">
        <f>SUM(U32:U32)</f>
        <v>0</v>
      </c>
      <c r="V33" s="26">
        <f>T33+U33</f>
        <v>0</v>
      </c>
      <c r="X33" s="26">
        <f t="shared" si="17"/>
        <v>0</v>
      </c>
      <c r="Y33" s="26">
        <f t="shared" si="17"/>
        <v>0</v>
      </c>
      <c r="Z33" s="26">
        <f t="shared" si="17"/>
        <v>0</v>
      </c>
    </row>
    <row r="34" spans="2:26" x14ac:dyDescent="0.25">
      <c r="H34" s="1"/>
      <c r="I34" s="1"/>
      <c r="J34" s="1"/>
      <c r="L34" s="1"/>
      <c r="M34" s="1"/>
      <c r="N34" s="1"/>
      <c r="P34" s="1"/>
      <c r="Q34" s="1"/>
      <c r="R34" s="1"/>
    </row>
    <row r="35" spans="2:26" x14ac:dyDescent="0.25">
      <c r="B35" s="5" t="s">
        <v>816</v>
      </c>
      <c r="H35" s="1"/>
      <c r="I35" s="1"/>
      <c r="J35" s="1"/>
      <c r="L35" s="1"/>
      <c r="M35" s="1"/>
      <c r="N35" s="1"/>
      <c r="P35" s="1"/>
      <c r="Q35" s="1"/>
      <c r="R35" s="1"/>
    </row>
    <row r="36" spans="2:26" x14ac:dyDescent="0.25">
      <c r="B36" s="2" t="s">
        <v>889</v>
      </c>
      <c r="C36" s="6" t="s">
        <v>685</v>
      </c>
      <c r="H36" s="1"/>
      <c r="I36" s="1"/>
      <c r="J36" s="1"/>
      <c r="L36" s="9">
        <v>20000</v>
      </c>
      <c r="M36" s="8">
        <f t="shared" ref="M36:M37" si="18">-L36</f>
        <v>-20000</v>
      </c>
      <c r="N36" s="8">
        <f t="shared" ref="N36:N37" si="19">L36+M36</f>
        <v>0</v>
      </c>
      <c r="P36" s="9">
        <v>120000</v>
      </c>
      <c r="Q36" s="8">
        <f t="shared" ref="Q36" si="20">-P36</f>
        <v>-120000</v>
      </c>
      <c r="R36" s="8">
        <f t="shared" ref="R36" si="21">P36+Q36</f>
        <v>0</v>
      </c>
      <c r="X36" s="8">
        <f t="shared" ref="X36:Z37" si="22">D36+H36+L36+P36+T36</f>
        <v>140000</v>
      </c>
      <c r="Y36" s="8">
        <f t="shared" ref="Y36" si="23">E36+I36+M36+Q36+U36</f>
        <v>-140000</v>
      </c>
      <c r="Z36" s="8">
        <f t="shared" ref="Z36" si="24">F36+J36+N36+R36+V36</f>
        <v>0</v>
      </c>
    </row>
    <row r="37" spans="2:26" ht="15.75" thickBot="1" x14ac:dyDescent="0.3">
      <c r="B37" s="2" t="s">
        <v>793</v>
      </c>
      <c r="C37" s="6" t="s">
        <v>792</v>
      </c>
      <c r="E37" s="1"/>
      <c r="F37" s="1"/>
      <c r="H37" s="1"/>
      <c r="I37" s="1"/>
      <c r="J37" s="1"/>
      <c r="L37" s="9">
        <v>3600</v>
      </c>
      <c r="M37" s="8">
        <f t="shared" si="18"/>
        <v>-3600</v>
      </c>
      <c r="N37" s="8">
        <f t="shared" si="19"/>
        <v>0</v>
      </c>
      <c r="X37" s="8">
        <f t="shared" si="22"/>
        <v>3600</v>
      </c>
      <c r="Y37" s="8">
        <f t="shared" si="22"/>
        <v>-3600</v>
      </c>
      <c r="Z37" s="8">
        <f t="shared" si="22"/>
        <v>0</v>
      </c>
    </row>
    <row r="38" spans="2:26" x14ac:dyDescent="0.25">
      <c r="B38" s="2" t="s">
        <v>815</v>
      </c>
      <c r="D38" s="26">
        <f>SUM(D36:D37)</f>
        <v>0</v>
      </c>
      <c r="E38" s="26">
        <f>SUM(E36:E37)</f>
        <v>0</v>
      </c>
      <c r="F38" s="26">
        <f>D38+E38</f>
        <v>0</v>
      </c>
      <c r="H38" s="26">
        <f>SUM(H36:H37)</f>
        <v>0</v>
      </c>
      <c r="I38" s="26">
        <f>SUM(I36:I37)</f>
        <v>0</v>
      </c>
      <c r="J38" s="26">
        <f>H38+I38</f>
        <v>0</v>
      </c>
      <c r="L38" s="26">
        <f>SUM(L36:L37)</f>
        <v>23600</v>
      </c>
      <c r="M38" s="26">
        <f>SUM(M36:M37)</f>
        <v>-23600</v>
      </c>
      <c r="N38" s="26">
        <f>L38+M38</f>
        <v>0</v>
      </c>
      <c r="P38" s="26">
        <f>SUM(P36:P37)</f>
        <v>120000</v>
      </c>
      <c r="Q38" s="26">
        <f>SUM(Q36:Q37)</f>
        <v>-120000</v>
      </c>
      <c r="R38" s="26">
        <f>P38+Q38</f>
        <v>0</v>
      </c>
      <c r="T38" s="26">
        <f>SUM(T36:T37)</f>
        <v>0</v>
      </c>
      <c r="U38" s="26">
        <f>SUM(U36:U37)</f>
        <v>0</v>
      </c>
      <c r="V38" s="26">
        <f>T38+U38</f>
        <v>0</v>
      </c>
      <c r="X38" s="26">
        <f>SUM(X36:X37)</f>
        <v>143600</v>
      </c>
      <c r="Y38" s="26">
        <f>SUM(Y36:Y37)</f>
        <v>-143600</v>
      </c>
      <c r="Z38" s="26">
        <f>X38+Y38</f>
        <v>0</v>
      </c>
    </row>
    <row r="39" spans="2:26" x14ac:dyDescent="0.25">
      <c r="H39" s="1"/>
      <c r="I39" s="1"/>
      <c r="J39" s="1"/>
      <c r="L39" s="1"/>
      <c r="M39" s="1"/>
      <c r="N39" s="1"/>
      <c r="P39" s="1"/>
      <c r="Q39" s="1"/>
      <c r="R39" s="1"/>
    </row>
    <row r="40" spans="2:26" x14ac:dyDescent="0.25">
      <c r="H40" s="1"/>
      <c r="I40" s="1"/>
      <c r="J40" s="1"/>
      <c r="L40" s="1"/>
      <c r="M40" s="1"/>
      <c r="N40" s="1"/>
      <c r="P40" s="1"/>
      <c r="Q40" s="1"/>
      <c r="R40" s="1"/>
    </row>
    <row r="41" spans="2:26" x14ac:dyDescent="0.25">
      <c r="B41" s="5" t="s">
        <v>8</v>
      </c>
      <c r="C41" s="5"/>
      <c r="H41" s="1"/>
      <c r="I41" s="1"/>
      <c r="J41" s="1"/>
      <c r="L41" s="1"/>
      <c r="M41" s="1"/>
      <c r="N41" s="1"/>
      <c r="P41" s="1"/>
      <c r="Q41" s="1"/>
    </row>
    <row r="42" spans="2:26" x14ac:dyDescent="0.25">
      <c r="B42" s="2" t="s">
        <v>7</v>
      </c>
      <c r="C42" s="2"/>
      <c r="D42" s="1"/>
      <c r="E42" s="1"/>
      <c r="F42" s="1"/>
      <c r="H42" s="1"/>
      <c r="I42" s="1"/>
      <c r="J42" s="1"/>
      <c r="T42" s="9">
        <v>-15000</v>
      </c>
      <c r="U42" s="9">
        <v>0</v>
      </c>
      <c r="V42" s="8">
        <f>T42+U42</f>
        <v>-15000</v>
      </c>
      <c r="X42" s="8">
        <f t="shared" ref="X42:Y43" si="25">D42+H42+L42+P42+T42</f>
        <v>-15000</v>
      </c>
      <c r="Y42" s="8">
        <f t="shared" si="25"/>
        <v>0</v>
      </c>
      <c r="Z42" s="8">
        <f t="shared" ref="Z42:Z43" si="26">X42+Y42</f>
        <v>-15000</v>
      </c>
    </row>
    <row r="43" spans="2:26" x14ac:dyDescent="0.25">
      <c r="B43" s="2" t="s">
        <v>52</v>
      </c>
      <c r="C43" s="2"/>
      <c r="D43" s="1"/>
      <c r="E43" s="1"/>
      <c r="F43" s="1"/>
      <c r="H43" s="1"/>
      <c r="I43" s="1"/>
      <c r="J43" s="1"/>
      <c r="L43" s="1"/>
      <c r="M43" s="1"/>
      <c r="N43" s="1"/>
      <c r="Q43" s="1"/>
      <c r="R43" s="1"/>
      <c r="T43" s="9">
        <v>-5000</v>
      </c>
      <c r="U43" s="9">
        <v>0</v>
      </c>
      <c r="V43" s="8">
        <f>T43+U43</f>
        <v>-5000</v>
      </c>
      <c r="X43" s="8">
        <f t="shared" si="25"/>
        <v>-5000</v>
      </c>
      <c r="Y43" s="8">
        <f t="shared" si="25"/>
        <v>0</v>
      </c>
      <c r="Z43" s="8">
        <f t="shared" si="26"/>
        <v>-5000</v>
      </c>
    </row>
    <row r="44" spans="2:26" x14ac:dyDescent="0.25">
      <c r="B44" s="2" t="s">
        <v>306</v>
      </c>
      <c r="C44" s="6" t="s">
        <v>354</v>
      </c>
      <c r="D44" s="1"/>
      <c r="E44" s="1"/>
      <c r="F44" s="1"/>
      <c r="H44" s="9">
        <v>0</v>
      </c>
      <c r="I44" s="9">
        <v>0</v>
      </c>
      <c r="J44" s="8">
        <f>H44+I44</f>
        <v>0</v>
      </c>
      <c r="L44" s="1"/>
      <c r="M44" s="1"/>
      <c r="N44" s="1"/>
      <c r="Q44" s="1"/>
      <c r="R44" s="1"/>
      <c r="X44" s="8">
        <f t="shared" ref="X44:X66" si="27">D44+H44+L44+P44+T44</f>
        <v>0</v>
      </c>
      <c r="Y44" s="8">
        <f t="shared" ref="Y44:Y66" si="28">E44+I44+M44+Q44+U44</f>
        <v>0</v>
      </c>
      <c r="Z44" s="8">
        <f t="shared" ref="Z44:Z69" si="29">X44+Y44</f>
        <v>0</v>
      </c>
    </row>
    <row r="45" spans="2:26" x14ac:dyDescent="0.25">
      <c r="B45" s="2" t="s">
        <v>582</v>
      </c>
      <c r="C45" s="6" t="s">
        <v>378</v>
      </c>
      <c r="D45" s="1"/>
      <c r="E45" s="1"/>
      <c r="F45" s="1"/>
      <c r="H45" s="9">
        <v>0</v>
      </c>
      <c r="I45" s="9">
        <v>0</v>
      </c>
      <c r="J45" s="8">
        <f>H45+I45</f>
        <v>0</v>
      </c>
      <c r="L45" s="1"/>
      <c r="M45" s="1"/>
      <c r="N45" s="1"/>
      <c r="Q45" s="1"/>
      <c r="R45" s="1"/>
      <c r="X45" s="8">
        <f t="shared" si="27"/>
        <v>0</v>
      </c>
      <c r="Y45" s="8">
        <f t="shared" si="28"/>
        <v>0</v>
      </c>
      <c r="Z45" s="8">
        <f t="shared" si="29"/>
        <v>0</v>
      </c>
    </row>
    <row r="46" spans="2:26" x14ac:dyDescent="0.25">
      <c r="B46" s="2" t="s">
        <v>410</v>
      </c>
      <c r="C46" s="6" t="s">
        <v>414</v>
      </c>
      <c r="D46" s="1"/>
      <c r="E46" s="1"/>
      <c r="F46" s="1"/>
      <c r="H46" s="9">
        <v>0</v>
      </c>
      <c r="I46" s="9">
        <v>0</v>
      </c>
      <c r="J46" s="8">
        <f>H46+I46</f>
        <v>0</v>
      </c>
      <c r="L46" s="1"/>
      <c r="M46" s="1"/>
      <c r="N46" s="1"/>
      <c r="Q46" s="1"/>
      <c r="R46" s="1"/>
      <c r="X46" s="8">
        <f t="shared" si="27"/>
        <v>0</v>
      </c>
      <c r="Y46" s="8">
        <f t="shared" si="28"/>
        <v>0</v>
      </c>
      <c r="Z46" s="8">
        <f t="shared" si="29"/>
        <v>0</v>
      </c>
    </row>
    <row r="47" spans="2:26" x14ac:dyDescent="0.25">
      <c r="B47" s="2" t="s">
        <v>469</v>
      </c>
      <c r="C47" s="6" t="s">
        <v>463</v>
      </c>
      <c r="D47" s="1"/>
      <c r="E47" s="1"/>
      <c r="F47" s="1"/>
      <c r="L47" s="1"/>
      <c r="M47" s="1"/>
      <c r="N47" s="1"/>
      <c r="P47" s="9">
        <v>-3190</v>
      </c>
      <c r="Q47" s="9">
        <v>0</v>
      </c>
      <c r="R47" s="8">
        <f>P47+Q47</f>
        <v>-3190</v>
      </c>
      <c r="X47" s="8">
        <f t="shared" ref="X47:X48" si="30">D47+H47+L47+P47+T47</f>
        <v>-3190</v>
      </c>
      <c r="Y47" s="8">
        <f t="shared" ref="Y47:Y48" si="31">E47+I47+M47+Q47+U47</f>
        <v>0</v>
      </c>
      <c r="Z47" s="8">
        <f t="shared" ref="Z47:Z48" si="32">X47+Y47</f>
        <v>-3190</v>
      </c>
    </row>
    <row r="48" spans="2:26" x14ac:dyDescent="0.25">
      <c r="B48" s="2" t="s">
        <v>458</v>
      </c>
      <c r="C48" s="6" t="s">
        <v>465</v>
      </c>
      <c r="D48" s="1"/>
      <c r="E48" s="1"/>
      <c r="F48" s="1"/>
      <c r="H48" s="9">
        <v>0</v>
      </c>
      <c r="I48" s="9">
        <v>0</v>
      </c>
      <c r="J48" s="8">
        <f>H48+I48</f>
        <v>0</v>
      </c>
      <c r="L48" s="1"/>
      <c r="M48" s="1"/>
      <c r="N48" s="1"/>
      <c r="Q48" s="1"/>
      <c r="R48" s="1"/>
      <c r="X48" s="8">
        <f t="shared" si="30"/>
        <v>0</v>
      </c>
      <c r="Y48" s="8">
        <f t="shared" si="31"/>
        <v>0</v>
      </c>
      <c r="Z48" s="8">
        <f t="shared" si="32"/>
        <v>0</v>
      </c>
    </row>
    <row r="49" spans="2:26" x14ac:dyDescent="0.25">
      <c r="B49" s="2" t="s">
        <v>789</v>
      </c>
      <c r="C49" s="6" t="s">
        <v>629</v>
      </c>
      <c r="D49" s="1"/>
      <c r="E49" s="1"/>
      <c r="F49" s="1"/>
      <c r="H49" s="9">
        <v>-1593</v>
      </c>
      <c r="I49" s="9">
        <v>0</v>
      </c>
      <c r="J49" s="8">
        <f>H49+I49</f>
        <v>-1593</v>
      </c>
      <c r="L49" s="1"/>
      <c r="M49" s="1"/>
      <c r="N49" s="1"/>
      <c r="Q49" s="1"/>
      <c r="R49" s="1"/>
      <c r="X49" s="8">
        <f t="shared" si="27"/>
        <v>-1593</v>
      </c>
      <c r="Y49" s="8">
        <f t="shared" si="28"/>
        <v>0</v>
      </c>
      <c r="Z49" s="8">
        <f t="shared" si="29"/>
        <v>-1593</v>
      </c>
    </row>
    <row r="50" spans="2:26" x14ac:dyDescent="0.25">
      <c r="B50" s="2" t="s">
        <v>631</v>
      </c>
      <c r="C50" s="6" t="s">
        <v>630</v>
      </c>
      <c r="D50" s="1"/>
      <c r="E50" s="1"/>
      <c r="F50" s="1"/>
      <c r="P50" s="9">
        <v>-6891.25</v>
      </c>
      <c r="Q50" s="9">
        <v>0</v>
      </c>
      <c r="R50" s="8">
        <f>P50+Q50</f>
        <v>-6891.25</v>
      </c>
      <c r="X50" s="8">
        <f t="shared" si="27"/>
        <v>-6891.25</v>
      </c>
      <c r="Y50" s="8">
        <f t="shared" si="28"/>
        <v>0</v>
      </c>
      <c r="Z50" s="8">
        <f t="shared" si="29"/>
        <v>-6891.25</v>
      </c>
    </row>
    <row r="51" spans="2:26" x14ac:dyDescent="0.25">
      <c r="B51" s="2" t="s">
        <v>632</v>
      </c>
      <c r="C51" s="6" t="s">
        <v>633</v>
      </c>
      <c r="D51" s="1"/>
      <c r="E51" s="1"/>
      <c r="F51" s="1"/>
      <c r="P51" s="9">
        <v>0</v>
      </c>
      <c r="Q51" s="9">
        <v>0</v>
      </c>
      <c r="R51" s="8">
        <f>P51+Q51</f>
        <v>0</v>
      </c>
      <c r="X51" s="8">
        <f t="shared" si="27"/>
        <v>0</v>
      </c>
      <c r="Y51" s="8">
        <f t="shared" si="28"/>
        <v>0</v>
      </c>
      <c r="Z51" s="8">
        <f t="shared" si="29"/>
        <v>0</v>
      </c>
    </row>
    <row r="52" spans="2:26" x14ac:dyDescent="0.25">
      <c r="B52" s="2" t="s">
        <v>635</v>
      </c>
      <c r="C52" s="6" t="s">
        <v>634</v>
      </c>
      <c r="D52" s="9">
        <v>-2775</v>
      </c>
      <c r="E52" s="9">
        <v>0</v>
      </c>
      <c r="F52" s="8">
        <f>D52+E52</f>
        <v>-2775</v>
      </c>
      <c r="H52" s="1"/>
      <c r="I52" s="1"/>
      <c r="J52" s="1"/>
      <c r="L52" s="1"/>
      <c r="M52" s="1"/>
      <c r="N52" s="1"/>
      <c r="P52" s="21"/>
      <c r="Q52" s="22"/>
      <c r="R52" s="22"/>
      <c r="X52" s="8">
        <f t="shared" si="27"/>
        <v>-2775</v>
      </c>
      <c r="Y52" s="8">
        <f t="shared" si="28"/>
        <v>0</v>
      </c>
      <c r="Z52" s="8">
        <f t="shared" si="29"/>
        <v>-2775</v>
      </c>
    </row>
    <row r="53" spans="2:26" x14ac:dyDescent="0.25">
      <c r="B53" s="2" t="s">
        <v>637</v>
      </c>
      <c r="C53" s="6" t="s">
        <v>638</v>
      </c>
      <c r="D53" s="1"/>
      <c r="E53" s="1"/>
      <c r="F53" s="1"/>
      <c r="P53" s="9">
        <v>-6582.04</v>
      </c>
      <c r="Q53" s="9">
        <v>0</v>
      </c>
      <c r="R53" s="8">
        <f>P53+Q53</f>
        <v>-6582.04</v>
      </c>
      <c r="X53" s="8">
        <f t="shared" si="27"/>
        <v>-6582.04</v>
      </c>
      <c r="Y53" s="8">
        <f t="shared" si="28"/>
        <v>0</v>
      </c>
      <c r="Z53" s="8">
        <f t="shared" si="29"/>
        <v>-6582.04</v>
      </c>
    </row>
    <row r="54" spans="2:26" x14ac:dyDescent="0.25">
      <c r="B54" s="2" t="s">
        <v>641</v>
      </c>
      <c r="C54" s="6" t="s">
        <v>640</v>
      </c>
      <c r="D54" s="1"/>
      <c r="E54" s="1"/>
      <c r="F54" s="1"/>
      <c r="L54" s="9">
        <v>0</v>
      </c>
      <c r="M54" s="9">
        <v>0</v>
      </c>
      <c r="N54" s="8">
        <f>L54+M54</f>
        <v>0</v>
      </c>
      <c r="P54" s="9">
        <v>0</v>
      </c>
      <c r="Q54" s="9">
        <v>0</v>
      </c>
      <c r="R54" s="8">
        <f>P54+Q54</f>
        <v>0</v>
      </c>
      <c r="X54" s="8">
        <f t="shared" si="27"/>
        <v>0</v>
      </c>
      <c r="Y54" s="8">
        <f t="shared" si="28"/>
        <v>0</v>
      </c>
      <c r="Z54" s="8">
        <f t="shared" si="29"/>
        <v>0</v>
      </c>
    </row>
    <row r="55" spans="2:26" x14ac:dyDescent="0.25">
      <c r="B55" s="2" t="s">
        <v>891</v>
      </c>
      <c r="C55" s="6" t="s">
        <v>647</v>
      </c>
      <c r="D55" s="1"/>
      <c r="E55" s="1"/>
      <c r="F55" s="1"/>
      <c r="H55" s="1"/>
      <c r="I55" s="1"/>
      <c r="J55" s="1"/>
      <c r="P55" s="9">
        <v>-55000</v>
      </c>
      <c r="Q55" s="9">
        <v>0</v>
      </c>
      <c r="R55" s="8">
        <f>P55+Q55</f>
        <v>-55000</v>
      </c>
      <c r="X55" s="8">
        <f t="shared" si="27"/>
        <v>-55000</v>
      </c>
      <c r="Y55" s="8">
        <f t="shared" si="28"/>
        <v>0</v>
      </c>
      <c r="Z55" s="8">
        <f t="shared" si="29"/>
        <v>-55000</v>
      </c>
    </row>
    <row r="56" spans="2:26" x14ac:dyDescent="0.25">
      <c r="B56" s="2" t="s">
        <v>673</v>
      </c>
      <c r="C56" s="6" t="s">
        <v>674</v>
      </c>
      <c r="D56" s="1"/>
      <c r="E56" s="1"/>
      <c r="F56" s="1"/>
      <c r="H56" s="9">
        <v>-4200</v>
      </c>
      <c r="I56" s="9">
        <v>0</v>
      </c>
      <c r="J56" s="8">
        <f>H56+I56</f>
        <v>-4200</v>
      </c>
      <c r="L56" s="1"/>
      <c r="M56" s="1"/>
      <c r="N56" s="1"/>
      <c r="P56" s="21"/>
      <c r="Q56" s="22"/>
      <c r="R56" s="22"/>
      <c r="X56" s="8">
        <f t="shared" si="27"/>
        <v>-4200</v>
      </c>
      <c r="Y56" s="8">
        <f t="shared" si="28"/>
        <v>0</v>
      </c>
      <c r="Z56" s="8">
        <f t="shared" si="29"/>
        <v>-4200</v>
      </c>
    </row>
    <row r="57" spans="2:26" x14ac:dyDescent="0.25">
      <c r="B57" s="2" t="s">
        <v>675</v>
      </c>
      <c r="C57" s="6" t="s">
        <v>676</v>
      </c>
      <c r="D57" s="1"/>
      <c r="E57" s="1"/>
      <c r="F57" s="1"/>
      <c r="P57" s="9">
        <v>-300</v>
      </c>
      <c r="Q57" s="9">
        <v>0</v>
      </c>
      <c r="R57" s="8">
        <f>P57+Q57</f>
        <v>-300</v>
      </c>
      <c r="X57" s="8">
        <f t="shared" si="27"/>
        <v>-300</v>
      </c>
      <c r="Y57" s="8">
        <f t="shared" si="28"/>
        <v>0</v>
      </c>
      <c r="Z57" s="8">
        <f t="shared" si="29"/>
        <v>-300</v>
      </c>
    </row>
    <row r="58" spans="2:26" x14ac:dyDescent="0.25">
      <c r="B58" s="2" t="s">
        <v>680</v>
      </c>
      <c r="C58" s="6" t="s">
        <v>681</v>
      </c>
      <c r="P58" s="9">
        <f>-11924.29+407.54</f>
        <v>-11516.75</v>
      </c>
      <c r="Q58" s="9">
        <v>0</v>
      </c>
      <c r="R58" s="8">
        <f>P58+Q58</f>
        <v>-11516.75</v>
      </c>
      <c r="X58" s="8">
        <f t="shared" si="27"/>
        <v>-11516.75</v>
      </c>
      <c r="Y58" s="8">
        <f t="shared" si="28"/>
        <v>0</v>
      </c>
      <c r="Z58" s="8">
        <f t="shared" si="29"/>
        <v>-11516.75</v>
      </c>
    </row>
    <row r="59" spans="2:26" x14ac:dyDescent="0.25">
      <c r="B59" s="2" t="s">
        <v>682</v>
      </c>
      <c r="C59" s="6" t="s">
        <v>683</v>
      </c>
      <c r="D59" s="1"/>
      <c r="E59" s="1"/>
      <c r="F59" s="1"/>
      <c r="P59" s="9">
        <f>-8825.64+236.85</f>
        <v>-8588.7899999999991</v>
      </c>
      <c r="Q59" s="9">
        <v>0</v>
      </c>
      <c r="R59" s="8">
        <f>P59+Q59</f>
        <v>-8588.7899999999991</v>
      </c>
      <c r="X59" s="8">
        <f t="shared" si="27"/>
        <v>-8588.7899999999991</v>
      </c>
      <c r="Y59" s="8">
        <f t="shared" si="28"/>
        <v>0</v>
      </c>
      <c r="Z59" s="8">
        <f t="shared" si="29"/>
        <v>-8588.7899999999991</v>
      </c>
    </row>
    <row r="60" spans="2:26" x14ac:dyDescent="0.25">
      <c r="B60" s="2" t="s">
        <v>889</v>
      </c>
      <c r="C60" s="6" t="s">
        <v>685</v>
      </c>
      <c r="D60" s="1"/>
      <c r="E60" s="1"/>
      <c r="F60" s="1"/>
      <c r="H60" s="1"/>
      <c r="I60" s="1"/>
      <c r="J60" s="1"/>
      <c r="L60" s="9">
        <v>-20000</v>
      </c>
      <c r="M60" s="9">
        <v>0</v>
      </c>
      <c r="N60" s="8">
        <f>L60+M60</f>
        <v>-20000</v>
      </c>
      <c r="P60" s="9">
        <f>-140000-L60</f>
        <v>-120000</v>
      </c>
      <c r="Q60" s="9">
        <v>0</v>
      </c>
      <c r="R60" s="8">
        <f>P60+Q60</f>
        <v>-120000</v>
      </c>
      <c r="X60" s="8">
        <f t="shared" si="27"/>
        <v>-140000</v>
      </c>
      <c r="Y60" s="8">
        <f t="shared" si="28"/>
        <v>0</v>
      </c>
      <c r="Z60" s="8">
        <f t="shared" si="29"/>
        <v>-140000</v>
      </c>
    </row>
    <row r="61" spans="2:26" x14ac:dyDescent="0.25">
      <c r="B61" s="2" t="s">
        <v>757</v>
      </c>
      <c r="C61" s="6" t="s">
        <v>758</v>
      </c>
      <c r="D61" s="9">
        <v>-200000</v>
      </c>
      <c r="E61" s="9">
        <v>0</v>
      </c>
      <c r="F61" s="8">
        <f>D61+E61</f>
        <v>-200000</v>
      </c>
      <c r="H61" s="1"/>
      <c r="I61" s="1"/>
      <c r="J61" s="1"/>
      <c r="L61" s="1"/>
      <c r="M61" s="1"/>
      <c r="N61" s="1"/>
      <c r="Q61" s="1"/>
      <c r="R61" s="1"/>
      <c r="X61" s="8">
        <f t="shared" si="27"/>
        <v>-200000</v>
      </c>
      <c r="Y61" s="8">
        <f t="shared" si="28"/>
        <v>0</v>
      </c>
      <c r="Z61" s="8">
        <f t="shared" si="29"/>
        <v>-200000</v>
      </c>
    </row>
    <row r="62" spans="2:26" x14ac:dyDescent="0.25">
      <c r="B62" s="2" t="s">
        <v>761</v>
      </c>
      <c r="C62" s="6" t="s">
        <v>762</v>
      </c>
      <c r="D62" s="1"/>
      <c r="E62" s="1"/>
      <c r="F62" s="1"/>
      <c r="H62" s="1"/>
      <c r="I62" s="1"/>
      <c r="J62" s="1"/>
      <c r="P62" s="9">
        <v>0</v>
      </c>
      <c r="Q62" s="9">
        <v>0</v>
      </c>
      <c r="R62" s="8">
        <f>P62+Q62</f>
        <v>0</v>
      </c>
      <c r="X62" s="8">
        <f t="shared" si="27"/>
        <v>0</v>
      </c>
      <c r="Y62" s="8">
        <f t="shared" si="28"/>
        <v>0</v>
      </c>
      <c r="Z62" s="8">
        <f t="shared" si="29"/>
        <v>0</v>
      </c>
    </row>
    <row r="63" spans="2:26" x14ac:dyDescent="0.25">
      <c r="B63" s="2" t="s">
        <v>759</v>
      </c>
      <c r="C63" s="6" t="s">
        <v>760</v>
      </c>
      <c r="D63" s="1"/>
      <c r="E63" s="1"/>
      <c r="F63" s="1"/>
      <c r="H63" s="1"/>
      <c r="I63" s="1"/>
      <c r="J63" s="1"/>
      <c r="L63" s="9">
        <v>-105000</v>
      </c>
      <c r="M63" s="9">
        <v>0</v>
      </c>
      <c r="N63" s="8">
        <f>L63+M63</f>
        <v>-105000</v>
      </c>
      <c r="P63" s="9">
        <v>-295000</v>
      </c>
      <c r="Q63" s="9">
        <v>0</v>
      </c>
      <c r="R63" s="8">
        <f>P63+Q63</f>
        <v>-295000</v>
      </c>
      <c r="X63" s="8">
        <f t="shared" si="27"/>
        <v>-400000</v>
      </c>
      <c r="Y63" s="8">
        <f t="shared" si="28"/>
        <v>0</v>
      </c>
      <c r="Z63" s="8">
        <f t="shared" si="29"/>
        <v>-400000</v>
      </c>
    </row>
    <row r="64" spans="2:26" x14ac:dyDescent="0.25">
      <c r="B64" s="2" t="s">
        <v>763</v>
      </c>
      <c r="C64" s="6" t="s">
        <v>764</v>
      </c>
      <c r="D64" s="1"/>
      <c r="E64" s="1"/>
      <c r="F64" s="1"/>
      <c r="H64" s="1"/>
      <c r="I64" s="1"/>
      <c r="J64" s="1"/>
      <c r="P64" s="9">
        <v>0</v>
      </c>
      <c r="Q64" s="9">
        <v>0</v>
      </c>
      <c r="R64" s="8">
        <f>P64+Q64</f>
        <v>0</v>
      </c>
      <c r="X64" s="8">
        <f t="shared" si="27"/>
        <v>0</v>
      </c>
      <c r="Y64" s="8">
        <f t="shared" si="28"/>
        <v>0</v>
      </c>
      <c r="Z64" s="8">
        <f t="shared" si="29"/>
        <v>0</v>
      </c>
    </row>
    <row r="65" spans="2:26" x14ac:dyDescent="0.25">
      <c r="B65" s="2" t="s">
        <v>765</v>
      </c>
      <c r="C65" s="6" t="s">
        <v>766</v>
      </c>
      <c r="D65" s="1"/>
      <c r="E65" s="1"/>
      <c r="F65" s="1"/>
      <c r="H65" s="1"/>
      <c r="I65" s="1"/>
      <c r="J65" s="1"/>
      <c r="P65" s="9">
        <v>0</v>
      </c>
      <c r="Q65" s="9">
        <v>0</v>
      </c>
      <c r="R65" s="8">
        <f>P65+Q65</f>
        <v>0</v>
      </c>
      <c r="X65" s="8">
        <f t="shared" si="27"/>
        <v>0</v>
      </c>
      <c r="Y65" s="8">
        <f t="shared" si="28"/>
        <v>0</v>
      </c>
      <c r="Z65" s="8">
        <f t="shared" si="29"/>
        <v>0</v>
      </c>
    </row>
    <row r="66" spans="2:26" x14ac:dyDescent="0.25">
      <c r="B66" s="2" t="s">
        <v>768</v>
      </c>
      <c r="C66" s="6" t="s">
        <v>767</v>
      </c>
      <c r="D66" s="9">
        <v>-55857</v>
      </c>
      <c r="E66" s="9">
        <v>0</v>
      </c>
      <c r="F66" s="8">
        <f>D66+E66</f>
        <v>-55857</v>
      </c>
      <c r="H66" s="1"/>
      <c r="I66" s="1"/>
      <c r="J66" s="1"/>
      <c r="X66" s="8">
        <f t="shared" si="27"/>
        <v>-55857</v>
      </c>
      <c r="Y66" s="8">
        <f t="shared" si="28"/>
        <v>0</v>
      </c>
      <c r="Z66" s="8">
        <f t="shared" si="29"/>
        <v>-55857</v>
      </c>
    </row>
    <row r="67" spans="2:26" x14ac:dyDescent="0.25">
      <c r="B67" s="2" t="s">
        <v>769</v>
      </c>
      <c r="C67" s="6" t="s">
        <v>770</v>
      </c>
      <c r="H67" s="1"/>
      <c r="I67" s="1"/>
      <c r="J67" s="1"/>
      <c r="P67" s="9">
        <v>-90000</v>
      </c>
      <c r="Q67" s="9">
        <v>0</v>
      </c>
      <c r="R67" s="8">
        <f>P67+Q67</f>
        <v>-90000</v>
      </c>
      <c r="X67" s="8">
        <f t="shared" ref="X67:X68" si="33">D67+H67+L67+P67+T67</f>
        <v>-90000</v>
      </c>
      <c r="Y67" s="8">
        <f t="shared" ref="Y67:Y68" si="34">E67+I67+M67+Q67+U67</f>
        <v>0</v>
      </c>
      <c r="Z67" s="8">
        <f t="shared" ref="Z67" si="35">X67+Y67</f>
        <v>-90000</v>
      </c>
    </row>
    <row r="68" spans="2:26" ht="15.75" thickBot="1" x14ac:dyDescent="0.3">
      <c r="B68" s="2" t="s">
        <v>793</v>
      </c>
      <c r="C68" s="6" t="s">
        <v>792</v>
      </c>
      <c r="E68" s="1"/>
      <c r="F68" s="1"/>
      <c r="H68" s="1"/>
      <c r="I68" s="1"/>
      <c r="J68" s="1"/>
      <c r="L68" s="9">
        <v>0</v>
      </c>
      <c r="M68" s="9">
        <v>0</v>
      </c>
      <c r="N68" s="8">
        <f t="shared" ref="N68" si="36">L68+M68</f>
        <v>0</v>
      </c>
      <c r="X68" s="8">
        <f t="shared" si="33"/>
        <v>0</v>
      </c>
      <c r="Y68" s="8">
        <f t="shared" si="34"/>
        <v>0</v>
      </c>
      <c r="Z68" s="8">
        <f t="shared" ref="Z68" si="37">F68+J68+N68+R68+V68</f>
        <v>0</v>
      </c>
    </row>
    <row r="69" spans="2:26" x14ac:dyDescent="0.25">
      <c r="B69" s="2" t="s">
        <v>31</v>
      </c>
      <c r="C69" s="2"/>
      <c r="D69" s="26">
        <f>SUM(D42:D68)</f>
        <v>-258632</v>
      </c>
      <c r="E69" s="26">
        <f>SUM(E42:E68)</f>
        <v>0</v>
      </c>
      <c r="F69" s="26">
        <f>D69+E69</f>
        <v>-258632</v>
      </c>
      <c r="H69" s="26">
        <f>SUM(H42:H68)</f>
        <v>-5793</v>
      </c>
      <c r="I69" s="26">
        <f>SUM(I42:I68)</f>
        <v>0</v>
      </c>
      <c r="J69" s="26">
        <f>H69+I69</f>
        <v>-5793</v>
      </c>
      <c r="L69" s="26">
        <f>SUM(L42:L68)</f>
        <v>-125000</v>
      </c>
      <c r="M69" s="26">
        <f>SUM(M42:M68)</f>
        <v>0</v>
      </c>
      <c r="N69" s="26">
        <f>L69+M69</f>
        <v>-125000</v>
      </c>
      <c r="P69" s="26">
        <f>SUM(P42:P68)</f>
        <v>-597068.83000000007</v>
      </c>
      <c r="Q69" s="26">
        <f>SUM(Q42:Q68)</f>
        <v>0</v>
      </c>
      <c r="R69" s="26">
        <f>P69+Q69</f>
        <v>-597068.83000000007</v>
      </c>
      <c r="S69" s="1"/>
      <c r="T69" s="26">
        <f>SUM(T42:T68)</f>
        <v>-20000</v>
      </c>
      <c r="U69" s="26">
        <f>SUM(U42:U68)</f>
        <v>0</v>
      </c>
      <c r="V69" s="26">
        <f>T69+U69</f>
        <v>-20000</v>
      </c>
      <c r="X69" s="26">
        <f>SUM(X42:X68)</f>
        <v>-1006493.8300000001</v>
      </c>
      <c r="Y69" s="26">
        <f>SUM(Y42:Y68)</f>
        <v>0</v>
      </c>
      <c r="Z69" s="26">
        <f t="shared" si="29"/>
        <v>-1006493.8300000001</v>
      </c>
    </row>
    <row r="70" spans="2:26" x14ac:dyDescent="0.25">
      <c r="D70" s="1"/>
      <c r="E70" s="1"/>
      <c r="F70" s="1"/>
      <c r="H70" s="1"/>
      <c r="I70" s="1"/>
      <c r="J70" s="1"/>
      <c r="L70" s="1"/>
      <c r="M70" s="1"/>
      <c r="N70" s="1"/>
      <c r="P70" s="1"/>
      <c r="Q70" s="1"/>
      <c r="R70" s="1"/>
      <c r="U70" s="1"/>
      <c r="V70" s="1"/>
      <c r="X70" s="1"/>
    </row>
    <row r="71" spans="2:26" x14ac:dyDescent="0.25">
      <c r="B71" s="5" t="s">
        <v>10</v>
      </c>
      <c r="C71" s="5"/>
      <c r="D71" s="1"/>
      <c r="E71" s="1"/>
      <c r="F71" s="1"/>
      <c r="L71" s="1"/>
      <c r="M71" s="1"/>
      <c r="N71" s="1"/>
    </row>
    <row r="72" spans="2:26" x14ac:dyDescent="0.25">
      <c r="B72" s="2" t="s">
        <v>7</v>
      </c>
      <c r="C72" s="2"/>
      <c r="T72" s="9">
        <v>0</v>
      </c>
      <c r="U72" s="8">
        <f>-T72</f>
        <v>0</v>
      </c>
      <c r="V72" s="8">
        <f>T72+U72</f>
        <v>0</v>
      </c>
      <c r="X72" s="8">
        <f t="shared" ref="X72:Y73" si="38">D72+H72+L72+P72+T72</f>
        <v>0</v>
      </c>
      <c r="Y72" s="8">
        <f t="shared" si="38"/>
        <v>0</v>
      </c>
      <c r="Z72" s="8">
        <f>X72+Y72</f>
        <v>0</v>
      </c>
    </row>
    <row r="73" spans="2:26" x14ac:dyDescent="0.25">
      <c r="B73" s="2" t="s">
        <v>52</v>
      </c>
      <c r="C73" s="2"/>
      <c r="T73" s="9">
        <v>0</v>
      </c>
      <c r="U73" s="8">
        <f>-T73</f>
        <v>0</v>
      </c>
      <c r="V73" s="8">
        <f>T73+U73</f>
        <v>0</v>
      </c>
      <c r="X73" s="8">
        <f t="shared" si="38"/>
        <v>0</v>
      </c>
      <c r="Y73" s="8">
        <f t="shared" si="38"/>
        <v>0</v>
      </c>
      <c r="Z73" s="8">
        <f>X73+Y73</f>
        <v>0</v>
      </c>
    </row>
    <row r="74" spans="2:26" x14ac:dyDescent="0.25">
      <c r="B74" s="2" t="s">
        <v>306</v>
      </c>
      <c r="C74" s="6" t="s">
        <v>354</v>
      </c>
      <c r="H74" s="9">
        <v>-23927.5</v>
      </c>
      <c r="I74" s="8">
        <f>-H74</f>
        <v>23927.5</v>
      </c>
      <c r="J74" s="8">
        <f>H74+I74</f>
        <v>0</v>
      </c>
      <c r="X74" s="8">
        <f t="shared" ref="X74:X79" si="39">D74+H74+L74+P74+T74</f>
        <v>-23927.5</v>
      </c>
      <c r="Y74" s="8">
        <f t="shared" ref="Y74:Y79" si="40">E74+I74+M74+Q74+U74</f>
        <v>23927.5</v>
      </c>
      <c r="Z74" s="8">
        <f t="shared" ref="Z74:Z79" si="41">X74+Y74</f>
        <v>0</v>
      </c>
    </row>
    <row r="75" spans="2:26" x14ac:dyDescent="0.25">
      <c r="B75" s="2" t="s">
        <v>582</v>
      </c>
      <c r="C75" s="6" t="s">
        <v>378</v>
      </c>
      <c r="H75" s="9">
        <v>-19600.14</v>
      </c>
      <c r="I75" s="8">
        <f>-H75</f>
        <v>19600.14</v>
      </c>
      <c r="J75" s="8">
        <f>H75+I75</f>
        <v>0</v>
      </c>
      <c r="X75" s="8">
        <f t="shared" si="39"/>
        <v>-19600.14</v>
      </c>
      <c r="Y75" s="8">
        <f t="shared" si="40"/>
        <v>19600.14</v>
      </c>
      <c r="Z75" s="8">
        <f t="shared" si="41"/>
        <v>0</v>
      </c>
    </row>
    <row r="76" spans="2:26" x14ac:dyDescent="0.25">
      <c r="B76" s="2" t="s">
        <v>410</v>
      </c>
      <c r="C76" s="6" t="s">
        <v>414</v>
      </c>
      <c r="H76" s="9">
        <v>-23537.38</v>
      </c>
      <c r="I76" s="8">
        <f>-H76</f>
        <v>23537.38</v>
      </c>
      <c r="J76" s="8">
        <f>H76+I76</f>
        <v>0</v>
      </c>
      <c r="X76" s="8">
        <f t="shared" si="39"/>
        <v>-23537.38</v>
      </c>
      <c r="Y76" s="8">
        <f t="shared" si="40"/>
        <v>23537.38</v>
      </c>
      <c r="Z76" s="8">
        <f t="shared" si="41"/>
        <v>0</v>
      </c>
    </row>
    <row r="77" spans="2:26" x14ac:dyDescent="0.25">
      <c r="B77" s="2" t="s">
        <v>458</v>
      </c>
      <c r="C77" s="6" t="s">
        <v>465</v>
      </c>
      <c r="H77" s="9">
        <v>-2475</v>
      </c>
      <c r="I77" s="8">
        <f>-H77</f>
        <v>2475</v>
      </c>
      <c r="J77" s="8">
        <f>H77+I77</f>
        <v>0</v>
      </c>
      <c r="X77" s="8">
        <f t="shared" si="39"/>
        <v>-2475</v>
      </c>
      <c r="Y77" s="8">
        <f t="shared" si="40"/>
        <v>2475</v>
      </c>
      <c r="Z77" s="8">
        <f t="shared" si="41"/>
        <v>0</v>
      </c>
    </row>
    <row r="78" spans="2:26" x14ac:dyDescent="0.25">
      <c r="B78" s="2" t="s">
        <v>680</v>
      </c>
      <c r="C78" s="6" t="s">
        <v>681</v>
      </c>
      <c r="P78" s="9">
        <v>-407.54</v>
      </c>
      <c r="Q78" s="8">
        <f>-P78</f>
        <v>407.54</v>
      </c>
      <c r="R78" s="8">
        <f>P78+Q78</f>
        <v>0</v>
      </c>
      <c r="X78" s="8">
        <f t="shared" si="39"/>
        <v>-407.54</v>
      </c>
      <c r="Y78" s="8">
        <f t="shared" si="40"/>
        <v>407.54</v>
      </c>
      <c r="Z78" s="8">
        <f t="shared" si="41"/>
        <v>0</v>
      </c>
    </row>
    <row r="79" spans="2:26" ht="15.75" thickBot="1" x14ac:dyDescent="0.3">
      <c r="B79" s="2" t="s">
        <v>682</v>
      </c>
      <c r="C79" s="6" t="s">
        <v>683</v>
      </c>
      <c r="P79" s="9">
        <v>-236.85</v>
      </c>
      <c r="Q79" s="8">
        <f>-P79</f>
        <v>236.85</v>
      </c>
      <c r="R79" s="8">
        <f>P79+Q79</f>
        <v>0</v>
      </c>
      <c r="X79" s="8">
        <f t="shared" si="39"/>
        <v>-236.85</v>
      </c>
      <c r="Y79" s="8">
        <f t="shared" si="40"/>
        <v>236.85</v>
      </c>
      <c r="Z79" s="8">
        <f t="shared" si="41"/>
        <v>0</v>
      </c>
    </row>
    <row r="80" spans="2:26" x14ac:dyDescent="0.25">
      <c r="B80" s="2" t="s">
        <v>39</v>
      </c>
      <c r="C80" s="2"/>
      <c r="D80" s="26">
        <f>SUM(D72:D79)</f>
        <v>0</v>
      </c>
      <c r="E80" s="26">
        <f>SUM(E72:E79)</f>
        <v>0</v>
      </c>
      <c r="F80" s="26">
        <f>D80+E80</f>
        <v>0</v>
      </c>
      <c r="H80" s="26">
        <f>SUM(H72:H79)</f>
        <v>-69540.02</v>
      </c>
      <c r="I80" s="26">
        <f>SUM(I72:I79)</f>
        <v>69540.02</v>
      </c>
      <c r="J80" s="26">
        <f>H80+I80</f>
        <v>0</v>
      </c>
      <c r="L80" s="26">
        <f>SUM(L72:L79)</f>
        <v>0</v>
      </c>
      <c r="M80" s="26">
        <f>SUM(M72:M79)</f>
        <v>0</v>
      </c>
      <c r="N80" s="26">
        <f>L80+M80</f>
        <v>0</v>
      </c>
      <c r="P80" s="26">
        <f>SUM(P72:P79)</f>
        <v>-644.39</v>
      </c>
      <c r="Q80" s="26">
        <f>SUM(Q72:Q79)</f>
        <v>644.39</v>
      </c>
      <c r="R80" s="26">
        <f>P80+Q80</f>
        <v>0</v>
      </c>
      <c r="S80" s="1"/>
      <c r="T80" s="26">
        <f>SUM(T72:T79)</f>
        <v>0</v>
      </c>
      <c r="U80" s="26">
        <f>SUM(U72:U79)</f>
        <v>0</v>
      </c>
      <c r="V80" s="26">
        <f>T80+U80</f>
        <v>0</v>
      </c>
      <c r="X80" s="26">
        <f>SUM(X72:X79)</f>
        <v>-70184.41</v>
      </c>
      <c r="Y80" s="26">
        <f>SUM(Y72:Y79)</f>
        <v>70184.41</v>
      </c>
      <c r="Z80" s="26">
        <f>X80+Y80</f>
        <v>0</v>
      </c>
    </row>
    <row r="81" spans="1:26" x14ac:dyDescent="0.25">
      <c r="L81" s="1"/>
      <c r="M81" s="1"/>
      <c r="N81" s="1"/>
      <c r="P81" s="1"/>
      <c r="Q81" s="1"/>
      <c r="R81" s="1"/>
    </row>
    <row r="82" spans="1:26" x14ac:dyDescent="0.25">
      <c r="B82" s="2" t="s">
        <v>694</v>
      </c>
      <c r="C82" s="2"/>
      <c r="D82" s="8">
        <f>D7+D15+D29+D33+D38+D69+D80</f>
        <v>52624.5</v>
      </c>
      <c r="E82" s="8">
        <f>E7+E15+E29+E33+E38+E69+E80</f>
        <v>523312.97</v>
      </c>
      <c r="F82" s="8">
        <f>D82+E82</f>
        <v>575937.47</v>
      </c>
      <c r="H82" s="8">
        <f>H7+H15+H29+H33+H38+H69+H80</f>
        <v>9058.3499999999913</v>
      </c>
      <c r="I82" s="8">
        <f>I7+I15+I29+I33+I38+I69+I80</f>
        <v>415387.42000000004</v>
      </c>
      <c r="J82" s="8">
        <f>H82+I82</f>
        <v>424445.77</v>
      </c>
      <c r="L82" s="8">
        <f>L7+L15+L29+L33+L38+L69+L80</f>
        <v>33832</v>
      </c>
      <c r="M82" s="8">
        <f>M7+M15+M29+M33+M38+M69+M80</f>
        <v>24312.149999999994</v>
      </c>
      <c r="N82" s="8">
        <f>L82+M82</f>
        <v>58144.149999999994</v>
      </c>
      <c r="P82" s="8">
        <f>P7+P15+P29+P33+P38+P69+P80</f>
        <v>447368.85</v>
      </c>
      <c r="Q82" s="8">
        <f>Q7+Q15+Q29+Q33+Q38+Q69+Q80</f>
        <v>337393.69000000006</v>
      </c>
      <c r="R82" s="8">
        <f>P82+Q82</f>
        <v>784762.54</v>
      </c>
      <c r="T82" s="8">
        <f>T7+T15+T29+T33+T38+T69+T80</f>
        <v>0</v>
      </c>
      <c r="U82" s="8">
        <f>U7+U15+U29+U33+U38+U69+U80</f>
        <v>0</v>
      </c>
      <c r="V82" s="8">
        <f>T82+U82</f>
        <v>0</v>
      </c>
      <c r="X82" s="8">
        <f t="shared" ref="X82" si="42">D82+H82+L82+P82+T82</f>
        <v>542883.69999999995</v>
      </c>
      <c r="Y82" s="8">
        <f t="shared" ref="Y82" si="43">E82+I82+M82+Q82+U82</f>
        <v>1300406.23</v>
      </c>
      <c r="Z82" s="8">
        <f>X82+Y82</f>
        <v>1843289.93</v>
      </c>
    </row>
    <row r="84" spans="1:26" x14ac:dyDescent="0.25">
      <c r="B84" s="5" t="s">
        <v>695</v>
      </c>
      <c r="C84" s="5"/>
      <c r="L84" s="1"/>
      <c r="M84" s="1"/>
      <c r="N84" s="1"/>
      <c r="P84" s="1"/>
    </row>
    <row r="85" spans="1:26" x14ac:dyDescent="0.25">
      <c r="B85" s="2" t="s">
        <v>244</v>
      </c>
      <c r="C85" s="2"/>
      <c r="D85" s="9">
        <v>0</v>
      </c>
      <c r="E85" s="9">
        <v>0</v>
      </c>
      <c r="F85" s="8">
        <f>D85+E85</f>
        <v>0</v>
      </c>
      <c r="H85" s="9">
        <v>0</v>
      </c>
      <c r="I85" s="9">
        <v>0</v>
      </c>
      <c r="J85" s="8">
        <f>H85+I85</f>
        <v>0</v>
      </c>
      <c r="L85" s="9">
        <v>0</v>
      </c>
      <c r="M85" s="9">
        <v>0</v>
      </c>
      <c r="N85" s="8">
        <f>L85+M85</f>
        <v>0</v>
      </c>
      <c r="P85" s="9">
        <v>0</v>
      </c>
      <c r="Q85" s="9">
        <v>0</v>
      </c>
      <c r="R85" s="8">
        <f>P85+Q85</f>
        <v>0</v>
      </c>
      <c r="T85" s="9">
        <v>0</v>
      </c>
      <c r="U85" s="9">
        <v>0</v>
      </c>
      <c r="V85" s="8">
        <f>T85+U85</f>
        <v>0</v>
      </c>
      <c r="X85" s="8">
        <f t="shared" ref="X85:Y88" si="44">D85+H85+L85+P85+T85</f>
        <v>0</v>
      </c>
      <c r="Y85" s="8">
        <f t="shared" si="44"/>
        <v>0</v>
      </c>
      <c r="Z85" s="8">
        <f>X85+Y85</f>
        <v>0</v>
      </c>
    </row>
    <row r="86" spans="1:26" x14ac:dyDescent="0.25">
      <c r="B86" s="2" t="s">
        <v>814</v>
      </c>
      <c r="C86" s="6" t="s">
        <v>807</v>
      </c>
      <c r="D86" s="9">
        <v>355699</v>
      </c>
      <c r="E86" s="8">
        <f>-D86</f>
        <v>-355699</v>
      </c>
      <c r="F86" s="8">
        <f>D86+E86</f>
        <v>0</v>
      </c>
      <c r="X86" s="8">
        <f t="shared" si="44"/>
        <v>355699</v>
      </c>
      <c r="Y86" s="8">
        <f t="shared" si="44"/>
        <v>-355699</v>
      </c>
      <c r="Z86" s="8">
        <f>X86+Y86</f>
        <v>0</v>
      </c>
    </row>
    <row r="87" spans="1:26" ht="15.75" thickBot="1" x14ac:dyDescent="0.3">
      <c r="B87" s="2" t="s">
        <v>800</v>
      </c>
      <c r="C87" s="6" t="s">
        <v>799</v>
      </c>
      <c r="H87" s="9">
        <v>87799</v>
      </c>
      <c r="I87" s="8">
        <f>-H87</f>
        <v>-87799</v>
      </c>
      <c r="J87" s="8">
        <f>H87+I87</f>
        <v>0</v>
      </c>
      <c r="X87" s="8">
        <f t="shared" si="44"/>
        <v>87799</v>
      </c>
      <c r="Y87" s="8">
        <f t="shared" si="44"/>
        <v>-87799</v>
      </c>
      <c r="Z87" s="8">
        <f>X87+Y87</f>
        <v>0</v>
      </c>
    </row>
    <row r="88" spans="1:26" x14ac:dyDescent="0.25">
      <c r="B88" s="2" t="s">
        <v>696</v>
      </c>
      <c r="C88" s="2"/>
      <c r="D88" s="26">
        <f>SUM(D85:D87)</f>
        <v>355699</v>
      </c>
      <c r="E88" s="26">
        <f>SUM(E85:E87)</f>
        <v>-355699</v>
      </c>
      <c r="F88" s="26">
        <f>D88+E88</f>
        <v>0</v>
      </c>
      <c r="H88" s="26">
        <f>SUM(H85:H87)</f>
        <v>87799</v>
      </c>
      <c r="I88" s="26">
        <f>SUM(I85:I87)</f>
        <v>-87799</v>
      </c>
      <c r="J88" s="26">
        <f>H88+I88</f>
        <v>0</v>
      </c>
      <c r="L88" s="26">
        <f>SUM(L85:L87)</f>
        <v>0</v>
      </c>
      <c r="M88" s="26">
        <f>SUM(M85:M87)</f>
        <v>0</v>
      </c>
      <c r="N88" s="26">
        <f>L88+M88</f>
        <v>0</v>
      </c>
      <c r="P88" s="26">
        <f>SUM(P85:P87)</f>
        <v>0</v>
      </c>
      <c r="Q88" s="26">
        <f>SUM(Q85:Q87)</f>
        <v>0</v>
      </c>
      <c r="R88" s="26">
        <f>P88+Q88</f>
        <v>0</v>
      </c>
      <c r="S88" s="1"/>
      <c r="T88" s="26">
        <f>SUM(T85:T87)</f>
        <v>0</v>
      </c>
      <c r="U88" s="26">
        <f>SUM(U85:U87)</f>
        <v>0</v>
      </c>
      <c r="V88" s="26">
        <f>T88+U88</f>
        <v>0</v>
      </c>
      <c r="X88" s="26">
        <f t="shared" si="44"/>
        <v>443498</v>
      </c>
      <c r="Y88" s="26">
        <f t="shared" si="44"/>
        <v>-443498</v>
      </c>
      <c r="Z88" s="26">
        <f>X88+Y88</f>
        <v>0</v>
      </c>
    </row>
    <row r="89" spans="1:26" x14ac:dyDescent="0.25">
      <c r="B89" s="2"/>
      <c r="C89" s="2"/>
    </row>
    <row r="90" spans="1:26" ht="15.75" thickBot="1" x14ac:dyDescent="0.3">
      <c r="B90" s="2" t="s">
        <v>697</v>
      </c>
      <c r="C90" s="2"/>
      <c r="D90" s="17">
        <f>ROUND(D82+D88,2)</f>
        <v>408323.5</v>
      </c>
      <c r="E90" s="17">
        <f>ROUND(E82+E88,2)</f>
        <v>167613.97</v>
      </c>
      <c r="F90" s="17">
        <f>D90+E90</f>
        <v>575937.47</v>
      </c>
      <c r="H90" s="17">
        <f>ROUND(H82+H88,2)</f>
        <v>96857.35</v>
      </c>
      <c r="I90" s="17">
        <f>ROUND(I82+I88,2)</f>
        <v>327588.42</v>
      </c>
      <c r="J90" s="17">
        <f>H90+I90</f>
        <v>424445.77</v>
      </c>
      <c r="L90" s="17">
        <f>ROUND(L82+L88,2)</f>
        <v>33832</v>
      </c>
      <c r="M90" s="17">
        <f>ROUND(M82+M88,2)</f>
        <v>24312.15</v>
      </c>
      <c r="N90" s="17">
        <f>L90+M90</f>
        <v>58144.15</v>
      </c>
      <c r="P90" s="17">
        <f>ROUND(P82+P88,2)</f>
        <v>447368.85</v>
      </c>
      <c r="Q90" s="17">
        <f>ROUND(Q82+Q88,2)</f>
        <v>337393.69</v>
      </c>
      <c r="R90" s="17">
        <f>P90+Q90</f>
        <v>784762.54</v>
      </c>
      <c r="T90" s="17">
        <f>ROUND(T82+T88,2)</f>
        <v>0</v>
      </c>
      <c r="U90" s="17">
        <f>ROUND(U82+U88,2)</f>
        <v>0</v>
      </c>
      <c r="V90" s="17">
        <f>T90+U90</f>
        <v>0</v>
      </c>
      <c r="X90" s="17">
        <f>D90+H90+L90+P90+T90</f>
        <v>986381.7</v>
      </c>
      <c r="Y90" s="17">
        <f>E90+I90+M90+Q90+U90</f>
        <v>856908.23</v>
      </c>
      <c r="Z90" s="17">
        <f>X90+Y90</f>
        <v>1843289.93</v>
      </c>
    </row>
    <row r="91" spans="1:26" ht="15.75" thickTop="1" x14ac:dyDescent="0.25">
      <c r="B91" s="2"/>
      <c r="C91" s="2"/>
    </row>
    <row r="92" spans="1:26" x14ac:dyDescent="0.25">
      <c r="B92" s="2"/>
      <c r="C92" s="2"/>
    </row>
    <row r="93" spans="1:26" x14ac:dyDescent="0.25">
      <c r="A93" t="s">
        <v>54</v>
      </c>
      <c r="C93" s="19"/>
    </row>
    <row r="95" spans="1:26" x14ac:dyDescent="0.25">
      <c r="B95" s="5" t="s">
        <v>698</v>
      </c>
      <c r="C95" s="5"/>
      <c r="T95" s="1"/>
    </row>
    <row r="96" spans="1:26" x14ac:dyDescent="0.25">
      <c r="B96" s="2" t="s">
        <v>708</v>
      </c>
      <c r="C96" s="2"/>
      <c r="D96" s="9">
        <v>0</v>
      </c>
      <c r="E96" s="9">
        <f>ROUND(850000/10,2)</f>
        <v>85000</v>
      </c>
      <c r="F96" s="8">
        <f>D96+E96</f>
        <v>85000</v>
      </c>
      <c r="H96" s="9">
        <v>0</v>
      </c>
      <c r="I96" s="9">
        <f>ROUND(850000/10,2)</f>
        <v>85000</v>
      </c>
      <c r="J96" s="8">
        <f>H96+I96</f>
        <v>85000</v>
      </c>
      <c r="L96" s="9">
        <v>0</v>
      </c>
      <c r="M96" s="9">
        <f>ROUND(850000/10,2)</f>
        <v>85000</v>
      </c>
      <c r="N96" s="8">
        <f>L96+M96</f>
        <v>85000</v>
      </c>
      <c r="P96" s="9">
        <v>0</v>
      </c>
      <c r="Q96" s="9">
        <f>850000-E96-I96-M96</f>
        <v>595000</v>
      </c>
      <c r="R96" s="8">
        <f>P96+Q96</f>
        <v>595000</v>
      </c>
      <c r="T96" s="1"/>
      <c r="U96" s="1"/>
      <c r="V96" s="1"/>
      <c r="X96" s="8">
        <f t="shared" ref="X96:Z99" si="45">D96+H96+L96+P96+T96</f>
        <v>0</v>
      </c>
      <c r="Y96" s="8">
        <f t="shared" si="45"/>
        <v>850000</v>
      </c>
      <c r="Z96" s="8">
        <f t="shared" si="45"/>
        <v>850000</v>
      </c>
    </row>
    <row r="97" spans="2:26" x14ac:dyDescent="0.25">
      <c r="B97" s="2" t="s">
        <v>699</v>
      </c>
      <c r="C97" s="2"/>
      <c r="D97" s="9">
        <v>0</v>
      </c>
      <c r="E97" s="9">
        <f>ROUND(850000*0.25/10,2)</f>
        <v>21250</v>
      </c>
      <c r="F97" s="8">
        <f>D97+E97</f>
        <v>21250</v>
      </c>
      <c r="H97" s="9">
        <v>0</v>
      </c>
      <c r="I97" s="9">
        <f>ROUND(850000*0.25/10,2)</f>
        <v>21250</v>
      </c>
      <c r="J97" s="8">
        <f>H97+I97</f>
        <v>21250</v>
      </c>
      <c r="L97" s="9">
        <v>0</v>
      </c>
      <c r="M97" s="9">
        <f>ROUND(850000*0.25/10,2)</f>
        <v>21250</v>
      </c>
      <c r="N97" s="8">
        <f>L97+M97</f>
        <v>21250</v>
      </c>
      <c r="P97" s="9">
        <v>0</v>
      </c>
      <c r="Q97" s="9">
        <f>850000*0.25-E97-I97-M97</f>
        <v>148750</v>
      </c>
      <c r="R97" s="8">
        <f>P97+Q97</f>
        <v>148750</v>
      </c>
      <c r="X97" s="8">
        <f t="shared" si="45"/>
        <v>0</v>
      </c>
      <c r="Y97" s="8">
        <f t="shared" si="45"/>
        <v>212500</v>
      </c>
      <c r="Z97" s="8">
        <f t="shared" si="45"/>
        <v>212500</v>
      </c>
    </row>
    <row r="98" spans="2:26" ht="15.75" thickBot="1" x14ac:dyDescent="0.3">
      <c r="B98" s="2" t="s">
        <v>700</v>
      </c>
      <c r="C98" s="2"/>
      <c r="D98" s="14">
        <v>0</v>
      </c>
      <c r="E98" s="9">
        <f>7410/10</f>
        <v>741</v>
      </c>
      <c r="F98" s="15">
        <f>D98+E98</f>
        <v>741</v>
      </c>
      <c r="H98" s="14">
        <v>0</v>
      </c>
      <c r="I98" s="9">
        <f>7410/10</f>
        <v>741</v>
      </c>
      <c r="J98" s="15">
        <f>H98+I98</f>
        <v>741</v>
      </c>
      <c r="L98" s="14">
        <v>0</v>
      </c>
      <c r="M98" s="9">
        <f>7410/10</f>
        <v>741</v>
      </c>
      <c r="N98" s="15">
        <f>L98+M98</f>
        <v>741</v>
      </c>
      <c r="P98" s="14">
        <v>0</v>
      </c>
      <c r="Q98" s="14">
        <f>7410-E98-I98-M98</f>
        <v>5187</v>
      </c>
      <c r="R98" s="15">
        <f>P98+Q98</f>
        <v>5187</v>
      </c>
      <c r="X98" s="15">
        <f t="shared" si="45"/>
        <v>0</v>
      </c>
      <c r="Y98" s="15">
        <f t="shared" si="45"/>
        <v>7410</v>
      </c>
      <c r="Z98" s="15">
        <f t="shared" si="45"/>
        <v>7410</v>
      </c>
    </row>
    <row r="99" spans="2:26" x14ac:dyDescent="0.25">
      <c r="B99" s="2" t="s">
        <v>701</v>
      </c>
      <c r="C99" s="2"/>
      <c r="D99" s="26">
        <f>SUM(D96:D98)</f>
        <v>0</v>
      </c>
      <c r="E99" s="26">
        <f>SUM(E96:E98)</f>
        <v>106991</v>
      </c>
      <c r="F99" s="26">
        <f>D99+E99</f>
        <v>106991</v>
      </c>
      <c r="H99" s="26">
        <f>SUM(H96:H98)</f>
        <v>0</v>
      </c>
      <c r="I99" s="26">
        <f>SUM(I96:I98)</f>
        <v>106991</v>
      </c>
      <c r="J99" s="26">
        <f>H99+I99</f>
        <v>106991</v>
      </c>
      <c r="L99" s="26">
        <f>SUM(L96:L98)</f>
        <v>0</v>
      </c>
      <c r="M99" s="26">
        <f>SUM(M96:M98)</f>
        <v>106991</v>
      </c>
      <c r="N99" s="26">
        <f>L99+M99</f>
        <v>106991</v>
      </c>
      <c r="P99" s="26">
        <f>SUM(P96:P98)</f>
        <v>0</v>
      </c>
      <c r="Q99" s="26">
        <f>SUM(Q96:Q98)</f>
        <v>748937</v>
      </c>
      <c r="R99" s="26">
        <f>P99+Q99</f>
        <v>748937</v>
      </c>
      <c r="S99" s="1"/>
      <c r="T99" s="26">
        <f>SUM(T96:T98)</f>
        <v>0</v>
      </c>
      <c r="U99" s="26">
        <f>SUM(U96:U98)</f>
        <v>0</v>
      </c>
      <c r="V99" s="26">
        <f>T99+U99</f>
        <v>0</v>
      </c>
      <c r="X99" s="26">
        <f t="shared" si="45"/>
        <v>0</v>
      </c>
      <c r="Y99" s="26">
        <f t="shared" si="45"/>
        <v>1069910</v>
      </c>
      <c r="Z99" s="26">
        <f t="shared" si="45"/>
        <v>1069910</v>
      </c>
    </row>
    <row r="100" spans="2:26" x14ac:dyDescent="0.25">
      <c r="B100" s="2"/>
      <c r="C100" s="2"/>
    </row>
    <row r="101" spans="2:26" x14ac:dyDescent="0.25">
      <c r="B101" s="5" t="s">
        <v>818</v>
      </c>
      <c r="C101" s="5"/>
      <c r="T101" s="1"/>
    </row>
    <row r="102" spans="2:26" x14ac:dyDescent="0.25">
      <c r="B102" s="2" t="s">
        <v>7</v>
      </c>
      <c r="C102" s="5"/>
      <c r="E102" s="1"/>
      <c r="F102" s="1"/>
      <c r="H102" s="1"/>
      <c r="I102" s="1"/>
      <c r="J102" s="1"/>
      <c r="L102" s="1"/>
      <c r="M102" s="1"/>
      <c r="N102" s="1"/>
      <c r="P102" s="8">
        <v>0</v>
      </c>
      <c r="Q102" s="8">
        <f>-T102</f>
        <v>-17500</v>
      </c>
      <c r="R102" s="8">
        <f>P102+Q102</f>
        <v>-17500</v>
      </c>
      <c r="T102" s="9">
        <v>17500</v>
      </c>
      <c r="U102" s="9">
        <v>0</v>
      </c>
      <c r="V102" s="8">
        <f>T102+U102</f>
        <v>17500</v>
      </c>
      <c r="X102" s="8">
        <f t="shared" ref="X102:Z115" si="46">D102+H102+L102+P102+T102</f>
        <v>17500</v>
      </c>
      <c r="Y102" s="8">
        <f t="shared" si="46"/>
        <v>-17500</v>
      </c>
      <c r="Z102" s="8">
        <f t="shared" si="46"/>
        <v>0</v>
      </c>
    </row>
    <row r="103" spans="2:26" x14ac:dyDescent="0.25">
      <c r="B103" s="2" t="s">
        <v>52</v>
      </c>
      <c r="C103" s="5"/>
      <c r="E103" s="1"/>
      <c r="F103" s="1"/>
      <c r="H103" s="1"/>
      <c r="I103" s="1"/>
      <c r="J103" s="1"/>
      <c r="M103" s="1"/>
      <c r="N103" s="1"/>
      <c r="P103" s="8">
        <v>0</v>
      </c>
      <c r="Q103" s="8">
        <f>-T103</f>
        <v>-10000</v>
      </c>
      <c r="R103" s="8">
        <f>P103+Q103</f>
        <v>-10000</v>
      </c>
      <c r="T103" s="9">
        <v>10000</v>
      </c>
      <c r="U103" s="9">
        <v>0</v>
      </c>
      <c r="V103" s="8">
        <f>T103+U103</f>
        <v>10000</v>
      </c>
      <c r="X103" s="8">
        <f t="shared" si="46"/>
        <v>10000</v>
      </c>
      <c r="Y103" s="8">
        <f t="shared" si="46"/>
        <v>-10000</v>
      </c>
      <c r="Z103" s="8">
        <f t="shared" si="46"/>
        <v>0</v>
      </c>
    </row>
    <row r="104" spans="2:26" x14ac:dyDescent="0.25">
      <c r="B104" s="2" t="s">
        <v>686</v>
      </c>
      <c r="C104" s="6" t="s">
        <v>647</v>
      </c>
      <c r="E104" s="1"/>
      <c r="F104" s="1"/>
      <c r="H104" s="1"/>
      <c r="I104" s="1"/>
      <c r="J104" s="1"/>
      <c r="P104" s="9">
        <v>0</v>
      </c>
      <c r="Q104" s="8">
        <f t="shared" ref="Q104:Q107" si="47">-P104</f>
        <v>0</v>
      </c>
      <c r="R104" s="8">
        <f t="shared" ref="R104:R107" si="48">P104+Q104</f>
        <v>0</v>
      </c>
      <c r="X104" s="8">
        <f t="shared" si="46"/>
        <v>0</v>
      </c>
      <c r="Y104" s="8">
        <f t="shared" si="46"/>
        <v>0</v>
      </c>
      <c r="Z104" s="8">
        <f t="shared" si="46"/>
        <v>0</v>
      </c>
    </row>
    <row r="105" spans="2:26" x14ac:dyDescent="0.25">
      <c r="B105" s="2" t="s">
        <v>684</v>
      </c>
      <c r="C105" s="6" t="s">
        <v>685</v>
      </c>
      <c r="E105" s="1"/>
      <c r="F105" s="1"/>
      <c r="H105" s="1"/>
      <c r="I105" s="1"/>
      <c r="J105" s="1"/>
      <c r="P105" s="9">
        <f>175672 + 59400</f>
        <v>235072</v>
      </c>
      <c r="Q105" s="8">
        <f t="shared" si="47"/>
        <v>-235072</v>
      </c>
      <c r="R105" s="8">
        <f t="shared" si="48"/>
        <v>0</v>
      </c>
      <c r="X105" s="8">
        <f t="shared" si="46"/>
        <v>235072</v>
      </c>
      <c r="Y105" s="8">
        <f t="shared" si="46"/>
        <v>-235072</v>
      </c>
      <c r="Z105" s="8">
        <f t="shared" si="46"/>
        <v>0</v>
      </c>
    </row>
    <row r="106" spans="2:26" x14ac:dyDescent="0.25">
      <c r="B106" s="2" t="s">
        <v>794</v>
      </c>
      <c r="C106" s="6" t="s">
        <v>795</v>
      </c>
      <c r="E106" s="1"/>
      <c r="F106" s="1"/>
      <c r="H106" s="1"/>
      <c r="I106" s="1"/>
      <c r="J106" s="1"/>
      <c r="L106" s="9">
        <v>100000</v>
      </c>
      <c r="M106" s="8">
        <f t="shared" ref="M106" si="49">-L106</f>
        <v>-100000</v>
      </c>
      <c r="N106" s="8">
        <f t="shared" ref="N106" si="50">L106+M106</f>
        <v>0</v>
      </c>
      <c r="P106" s="9">
        <v>300000</v>
      </c>
      <c r="Q106" s="8">
        <f t="shared" si="47"/>
        <v>-300000</v>
      </c>
      <c r="R106" s="8">
        <f t="shared" si="48"/>
        <v>0</v>
      </c>
      <c r="X106" s="8">
        <f t="shared" si="46"/>
        <v>400000</v>
      </c>
      <c r="Y106" s="8">
        <f t="shared" si="46"/>
        <v>-400000</v>
      </c>
      <c r="Z106" s="8">
        <f t="shared" si="46"/>
        <v>0</v>
      </c>
    </row>
    <row r="107" spans="2:26" x14ac:dyDescent="0.25">
      <c r="B107" s="2" t="s">
        <v>797</v>
      </c>
      <c r="C107" s="6" t="s">
        <v>796</v>
      </c>
      <c r="E107" s="1"/>
      <c r="F107" s="1"/>
      <c r="H107" s="1"/>
      <c r="I107" s="1"/>
      <c r="J107" s="1"/>
      <c r="P107" s="9">
        <v>30000</v>
      </c>
      <c r="Q107" s="8">
        <f t="shared" si="47"/>
        <v>-30000</v>
      </c>
      <c r="R107" s="8">
        <f t="shared" si="48"/>
        <v>0</v>
      </c>
      <c r="X107" s="8">
        <f t="shared" si="46"/>
        <v>30000</v>
      </c>
      <c r="Y107" s="8">
        <f t="shared" si="46"/>
        <v>-30000</v>
      </c>
      <c r="Z107" s="8">
        <f t="shared" si="46"/>
        <v>0</v>
      </c>
    </row>
    <row r="108" spans="2:26" x14ac:dyDescent="0.25">
      <c r="B108" s="2" t="s">
        <v>811</v>
      </c>
      <c r="C108" s="6" t="s">
        <v>798</v>
      </c>
      <c r="F108" s="1"/>
      <c r="H108" s="9">
        <v>8950</v>
      </c>
      <c r="I108" s="8">
        <f t="shared" ref="I108:I109" si="51">-H108</f>
        <v>-8950</v>
      </c>
      <c r="J108" s="8">
        <f t="shared" ref="J108:J109" si="52">H108+I108</f>
        <v>0</v>
      </c>
      <c r="X108" s="8">
        <f t="shared" si="46"/>
        <v>8950</v>
      </c>
      <c r="Y108" s="8">
        <f t="shared" si="46"/>
        <v>-8950</v>
      </c>
      <c r="Z108" s="8">
        <f t="shared" si="46"/>
        <v>0</v>
      </c>
    </row>
    <row r="109" spans="2:26" x14ac:dyDescent="0.25">
      <c r="B109" s="2" t="s">
        <v>800</v>
      </c>
      <c r="C109" s="6" t="s">
        <v>799</v>
      </c>
      <c r="E109" s="1"/>
      <c r="F109" s="1"/>
      <c r="H109" s="9">
        <v>100000</v>
      </c>
      <c r="I109" s="8">
        <f t="shared" si="51"/>
        <v>-100000</v>
      </c>
      <c r="J109" s="8">
        <f t="shared" si="52"/>
        <v>0</v>
      </c>
      <c r="X109" s="8">
        <f t="shared" si="46"/>
        <v>100000</v>
      </c>
      <c r="Y109" s="8">
        <f t="shared" si="46"/>
        <v>-100000</v>
      </c>
      <c r="Z109" s="8">
        <f t="shared" si="46"/>
        <v>0</v>
      </c>
    </row>
    <row r="110" spans="2:26" x14ac:dyDescent="0.25">
      <c r="B110" s="2" t="s">
        <v>802</v>
      </c>
      <c r="C110" s="6" t="s">
        <v>801</v>
      </c>
      <c r="E110" s="1"/>
      <c r="F110" s="1"/>
      <c r="H110" s="1"/>
      <c r="I110" s="1"/>
      <c r="J110" s="1"/>
      <c r="P110" s="9">
        <v>30000</v>
      </c>
      <c r="Q110" s="8">
        <f>-P110</f>
        <v>-30000</v>
      </c>
      <c r="R110" s="8">
        <f t="shared" ref="R110" si="53">P110+Q110</f>
        <v>0</v>
      </c>
      <c r="X110" s="8">
        <f t="shared" si="46"/>
        <v>30000</v>
      </c>
      <c r="Y110" s="8">
        <f t="shared" si="46"/>
        <v>-30000</v>
      </c>
      <c r="Z110" s="8">
        <f t="shared" si="46"/>
        <v>0</v>
      </c>
    </row>
    <row r="111" spans="2:26" x14ac:dyDescent="0.25">
      <c r="B111" s="2" t="s">
        <v>803</v>
      </c>
      <c r="C111" s="6" t="s">
        <v>804</v>
      </c>
      <c r="F111" s="1"/>
      <c r="H111" s="9">
        <v>16240</v>
      </c>
      <c r="I111" s="8">
        <f t="shared" ref="I111:I112" si="54">-H111</f>
        <v>-16240</v>
      </c>
      <c r="J111" s="8">
        <f t="shared" ref="J111:J112" si="55">H111+I111</f>
        <v>0</v>
      </c>
      <c r="X111" s="8">
        <f t="shared" si="46"/>
        <v>16240</v>
      </c>
      <c r="Y111" s="8">
        <f t="shared" si="46"/>
        <v>-16240</v>
      </c>
      <c r="Z111" s="8">
        <f t="shared" si="46"/>
        <v>0</v>
      </c>
    </row>
    <row r="112" spans="2:26" x14ac:dyDescent="0.25">
      <c r="B112" s="2" t="s">
        <v>806</v>
      </c>
      <c r="C112" s="6" t="s">
        <v>805</v>
      </c>
      <c r="F112" s="1"/>
      <c r="H112" s="9">
        <v>69600</v>
      </c>
      <c r="I112" s="8">
        <f t="shared" si="54"/>
        <v>-69600</v>
      </c>
      <c r="J112" s="8">
        <f t="shared" si="55"/>
        <v>0</v>
      </c>
      <c r="X112" s="8">
        <f t="shared" si="46"/>
        <v>69600</v>
      </c>
      <c r="Y112" s="8">
        <f t="shared" si="46"/>
        <v>-69600</v>
      </c>
      <c r="Z112" s="8">
        <f t="shared" si="46"/>
        <v>0</v>
      </c>
    </row>
    <row r="113" spans="2:26" x14ac:dyDescent="0.25">
      <c r="B113" s="2" t="s">
        <v>814</v>
      </c>
      <c r="C113" s="6" t="s">
        <v>807</v>
      </c>
      <c r="D113" s="9">
        <v>400000</v>
      </c>
      <c r="E113" s="8">
        <f t="shared" ref="E113:E114" si="56">-D113</f>
        <v>-400000</v>
      </c>
      <c r="F113" s="8">
        <f t="shared" ref="F113:F114" si="57">D113+E113</f>
        <v>0</v>
      </c>
      <c r="H113" s="1"/>
      <c r="I113" s="1"/>
      <c r="J113" s="1"/>
      <c r="X113" s="8">
        <f t="shared" si="46"/>
        <v>400000</v>
      </c>
      <c r="Y113" s="8">
        <f t="shared" si="46"/>
        <v>-400000</v>
      </c>
      <c r="Z113" s="8">
        <f t="shared" si="46"/>
        <v>0</v>
      </c>
    </row>
    <row r="114" spans="2:26" x14ac:dyDescent="0.25">
      <c r="B114" s="2" t="s">
        <v>851</v>
      </c>
      <c r="C114" s="6" t="s">
        <v>808</v>
      </c>
      <c r="D114" s="9">
        <v>62660</v>
      </c>
      <c r="E114" s="8">
        <f t="shared" si="56"/>
        <v>-62660</v>
      </c>
      <c r="F114" s="8">
        <f t="shared" si="57"/>
        <v>0</v>
      </c>
      <c r="I114" s="1"/>
      <c r="J114" s="1"/>
      <c r="X114" s="8">
        <f t="shared" si="46"/>
        <v>62660</v>
      </c>
      <c r="Y114" s="8">
        <f t="shared" si="46"/>
        <v>-62660</v>
      </c>
      <c r="Z114" s="8">
        <f t="shared" si="46"/>
        <v>0</v>
      </c>
    </row>
    <row r="115" spans="2:26" ht="15.75" thickBot="1" x14ac:dyDescent="0.3">
      <c r="B115" s="2" t="s">
        <v>810</v>
      </c>
      <c r="C115" s="6" t="s">
        <v>809</v>
      </c>
      <c r="E115" s="2"/>
      <c r="L115" s="9">
        <v>5000</v>
      </c>
      <c r="M115" s="8">
        <f t="shared" ref="M115" si="58">-L115</f>
        <v>-5000</v>
      </c>
      <c r="N115" s="8">
        <f t="shared" ref="N115" si="59">L115+M115</f>
        <v>0</v>
      </c>
      <c r="P115" s="9">
        <v>7195</v>
      </c>
      <c r="Q115" s="8">
        <f t="shared" ref="Q115" si="60">-P115</f>
        <v>-7195</v>
      </c>
      <c r="R115" s="8">
        <f t="shared" ref="R115" si="61">P115+Q115</f>
        <v>0</v>
      </c>
      <c r="X115" s="8">
        <f t="shared" si="46"/>
        <v>12195</v>
      </c>
      <c r="Y115" s="8">
        <f t="shared" si="46"/>
        <v>-12195</v>
      </c>
      <c r="Z115" s="8">
        <f t="shared" si="46"/>
        <v>0</v>
      </c>
    </row>
    <row r="116" spans="2:26" x14ac:dyDescent="0.25">
      <c r="B116" s="2" t="s">
        <v>812</v>
      </c>
      <c r="C116" s="2"/>
      <c r="D116" s="26">
        <f>SUM(D102:D115)</f>
        <v>462660</v>
      </c>
      <c r="E116" s="26">
        <f>SUM(E102:E115)</f>
        <v>-462660</v>
      </c>
      <c r="F116" s="26">
        <f>D116+E116</f>
        <v>0</v>
      </c>
      <c r="H116" s="26">
        <f>SUM(H102:H115)</f>
        <v>194790</v>
      </c>
      <c r="I116" s="26">
        <f>SUM(I102:I115)</f>
        <v>-194790</v>
      </c>
      <c r="J116" s="26">
        <f>H116+I116</f>
        <v>0</v>
      </c>
      <c r="L116" s="26">
        <f>SUM(L102:L115)</f>
        <v>105000</v>
      </c>
      <c r="M116" s="26">
        <f>SUM(M102:M115)</f>
        <v>-105000</v>
      </c>
      <c r="N116" s="26">
        <f>L116+M116</f>
        <v>0</v>
      </c>
      <c r="P116" s="26">
        <f>SUM(P102:P115)</f>
        <v>602267</v>
      </c>
      <c r="Q116" s="26">
        <f>SUM(Q102:Q115)</f>
        <v>-629767</v>
      </c>
      <c r="R116" s="26">
        <f>P116+Q116</f>
        <v>-27500</v>
      </c>
      <c r="S116" s="1"/>
      <c r="T116" s="26">
        <f>SUM(T102:T115)</f>
        <v>27500</v>
      </c>
      <c r="U116" s="26">
        <f>SUM(U102:U115)</f>
        <v>0</v>
      </c>
      <c r="V116" s="26">
        <f>T116+U116</f>
        <v>27500</v>
      </c>
      <c r="X116" s="26">
        <f t="shared" ref="X116:Z116" si="62">D116+H116+L116+P116+T116</f>
        <v>1392217</v>
      </c>
      <c r="Y116" s="26">
        <f t="shared" si="62"/>
        <v>-1392217</v>
      </c>
      <c r="Z116" s="26">
        <f t="shared" si="62"/>
        <v>0</v>
      </c>
    </row>
    <row r="117" spans="2:26" x14ac:dyDescent="0.25">
      <c r="B117" s="2"/>
      <c r="C117" s="2"/>
    </row>
    <row r="118" spans="2:26" x14ac:dyDescent="0.25">
      <c r="B118" s="2" t="s">
        <v>702</v>
      </c>
      <c r="C118" s="2"/>
      <c r="D118" s="8">
        <f>D99+D116</f>
        <v>462660</v>
      </c>
      <c r="E118" s="8">
        <f>E99+E116</f>
        <v>-355669</v>
      </c>
      <c r="F118" s="8">
        <f>D118+E118</f>
        <v>106991</v>
      </c>
      <c r="H118" s="8">
        <f>H99+H116</f>
        <v>194790</v>
      </c>
      <c r="I118" s="8">
        <f>I99+I116</f>
        <v>-87799</v>
      </c>
      <c r="J118" s="8">
        <f>H118+I118</f>
        <v>106991</v>
      </c>
      <c r="L118" s="8">
        <f>L99+L116</f>
        <v>105000</v>
      </c>
      <c r="M118" s="8">
        <f>M99+M116</f>
        <v>1991</v>
      </c>
      <c r="N118" s="8">
        <f>L118+M118</f>
        <v>106991</v>
      </c>
      <c r="P118" s="8">
        <f>P99+P116</f>
        <v>602267</v>
      </c>
      <c r="Q118" s="8">
        <f>Q99+Q116</f>
        <v>119170</v>
      </c>
      <c r="R118" s="8">
        <f>P118+Q118</f>
        <v>721437</v>
      </c>
      <c r="T118" s="8">
        <f>T99+T116</f>
        <v>27500</v>
      </c>
      <c r="U118" s="8">
        <f>U99+U116</f>
        <v>0</v>
      </c>
      <c r="V118" s="8">
        <f>T118+U118</f>
        <v>27500</v>
      </c>
      <c r="X118" s="8">
        <f>D118+H118+L118+P118+T118</f>
        <v>1392217</v>
      </c>
      <c r="Y118" s="8">
        <f>E118+I118+M118+Q118+U118</f>
        <v>-322307</v>
      </c>
      <c r="Z118" s="8">
        <f>F118+J118+N118+R118+V118</f>
        <v>1069910</v>
      </c>
    </row>
    <row r="119" spans="2:26" x14ac:dyDescent="0.25">
      <c r="B119" s="2"/>
      <c r="C119" s="2"/>
    </row>
    <row r="121" spans="2:26" x14ac:dyDescent="0.25">
      <c r="D121" t="s">
        <v>72</v>
      </c>
    </row>
    <row r="122" spans="2:26" x14ac:dyDescent="0.25">
      <c r="D122" s="2"/>
    </row>
    <row r="123" spans="2:26" x14ac:dyDescent="0.25">
      <c r="D123" s="29">
        <v>1</v>
      </c>
      <c r="E123" t="s">
        <v>813</v>
      </c>
    </row>
    <row r="124" spans="2:26" x14ac:dyDescent="0.25">
      <c r="D124" s="29">
        <v>2</v>
      </c>
      <c r="E124" t="s">
        <v>819</v>
      </c>
    </row>
    <row r="127" spans="2:26" x14ac:dyDescent="0.25">
      <c r="D127" t="s">
        <v>703</v>
      </c>
    </row>
    <row r="129" spans="4:18" x14ac:dyDescent="0.25">
      <c r="D129" s="36" t="s">
        <v>3</v>
      </c>
      <c r="E129" s="36"/>
      <c r="F129" s="36"/>
      <c r="H129" s="36" t="s">
        <v>4</v>
      </c>
      <c r="I129" s="36"/>
      <c r="J129" s="36"/>
      <c r="L129" s="36" t="s">
        <v>2</v>
      </c>
      <c r="M129" s="36"/>
      <c r="N129" s="36"/>
      <c r="P129" s="36" t="s">
        <v>13</v>
      </c>
      <c r="Q129" s="36"/>
      <c r="R129" s="36"/>
    </row>
    <row r="130" spans="4:18" x14ac:dyDescent="0.25">
      <c r="D130" s="6"/>
      <c r="E130" s="6"/>
      <c r="F130" s="6"/>
      <c r="H130" s="6"/>
      <c r="I130" s="6"/>
      <c r="J130" s="6"/>
    </row>
    <row r="131" spans="4:18" x14ac:dyDescent="0.25">
      <c r="E131" s="6" t="s">
        <v>110</v>
      </c>
      <c r="F131" s="6" t="s">
        <v>111</v>
      </c>
      <c r="I131" s="6" t="s">
        <v>110</v>
      </c>
      <c r="J131" s="6" t="s">
        <v>111</v>
      </c>
      <c r="M131" s="6" t="s">
        <v>110</v>
      </c>
      <c r="N131" s="6" t="s">
        <v>111</v>
      </c>
      <c r="Q131" s="6" t="s">
        <v>110</v>
      </c>
      <c r="R131" s="6" t="s">
        <v>111</v>
      </c>
    </row>
    <row r="132" spans="4:18" x14ac:dyDescent="0.25">
      <c r="E132" s="6"/>
      <c r="F132" s="6"/>
    </row>
    <row r="133" spans="4:18" x14ac:dyDescent="0.25">
      <c r="E133" s="2" t="str">
        <f>'FY23'!B52</f>
        <v xml:space="preserve">Housing Site Assessment </v>
      </c>
      <c r="F133" s="11">
        <v>55399.5</v>
      </c>
      <c r="I133" s="2" t="s">
        <v>306</v>
      </c>
      <c r="J133" s="9">
        <v>23927.5</v>
      </c>
      <c r="M133" s="2" t="str">
        <f>'FY23'!B55</f>
        <v xml:space="preserve">Stadium Field </v>
      </c>
      <c r="N133" s="9">
        <v>30232</v>
      </c>
      <c r="Q133" s="2" t="s">
        <v>631</v>
      </c>
      <c r="R133" s="9">
        <v>13055</v>
      </c>
    </row>
    <row r="134" spans="4:18" x14ac:dyDescent="0.25">
      <c r="E134" s="2" t="s">
        <v>757</v>
      </c>
      <c r="F134" s="11">
        <v>148866</v>
      </c>
      <c r="I134" s="2" t="s">
        <v>458</v>
      </c>
      <c r="J134" s="9">
        <v>2475</v>
      </c>
      <c r="M134" s="2" t="s">
        <v>113</v>
      </c>
      <c r="N134" s="13">
        <f>SUM(N133:N133)</f>
        <v>30232</v>
      </c>
      <c r="Q134" s="2" t="s">
        <v>632</v>
      </c>
      <c r="R134" s="9">
        <v>1968.24</v>
      </c>
    </row>
    <row r="135" spans="4:18" x14ac:dyDescent="0.25">
      <c r="E135" s="2" t="s">
        <v>113</v>
      </c>
      <c r="F135" s="13">
        <f>SUM(F133:F134)</f>
        <v>204265.5</v>
      </c>
      <c r="I135" s="2" t="s">
        <v>673</v>
      </c>
      <c r="J135" s="9">
        <v>4200</v>
      </c>
      <c r="Q135" s="2" t="s">
        <v>469</v>
      </c>
      <c r="R135" s="9">
        <v>4023</v>
      </c>
    </row>
    <row r="136" spans="4:18" x14ac:dyDescent="0.25">
      <c r="I136" s="2" t="s">
        <v>582</v>
      </c>
      <c r="J136" s="9">
        <v>19600.14</v>
      </c>
      <c r="Q136" s="2" t="s">
        <v>637</v>
      </c>
      <c r="R136" s="9">
        <f>10631.9+500</f>
        <v>11131.9</v>
      </c>
    </row>
    <row r="137" spans="4:18" x14ac:dyDescent="0.25">
      <c r="I137" s="2" t="s">
        <v>789</v>
      </c>
      <c r="J137" s="9">
        <v>10651.35</v>
      </c>
      <c r="Q137" s="2" t="s">
        <v>682</v>
      </c>
      <c r="R137" s="9">
        <v>8825.64</v>
      </c>
    </row>
    <row r="138" spans="4:18" x14ac:dyDescent="0.25">
      <c r="I138" s="2" t="s">
        <v>410</v>
      </c>
      <c r="J138" s="9">
        <v>23537.38</v>
      </c>
      <c r="Q138" s="2" t="s">
        <v>675</v>
      </c>
      <c r="R138" s="9">
        <v>60154</v>
      </c>
    </row>
    <row r="139" spans="4:18" x14ac:dyDescent="0.25">
      <c r="I139" s="2" t="s">
        <v>113</v>
      </c>
      <c r="J139" s="13">
        <f>SUM(J133:J138)</f>
        <v>84391.37</v>
      </c>
      <c r="Q139" s="2" t="s">
        <v>641</v>
      </c>
      <c r="R139" s="9">
        <v>200000</v>
      </c>
    </row>
    <row r="140" spans="4:18" x14ac:dyDescent="0.25">
      <c r="Q140" s="2" t="s">
        <v>680</v>
      </c>
      <c r="R140" s="9">
        <v>11516.75</v>
      </c>
    </row>
    <row r="141" spans="4:18" x14ac:dyDescent="0.25">
      <c r="Q141" s="2" t="s">
        <v>113</v>
      </c>
      <c r="R141" s="13">
        <f>SUM(R133:R140)</f>
        <v>310674.53000000003</v>
      </c>
    </row>
    <row r="142" spans="4:18" x14ac:dyDescent="0.25">
      <c r="D142" s="6" t="s">
        <v>118</v>
      </c>
      <c r="E142" s="1"/>
    </row>
    <row r="143" spans="4:18" x14ac:dyDescent="0.25">
      <c r="D143" s="2" t="s">
        <v>58</v>
      </c>
      <c r="E143" t="str">
        <f>"FY2024 local surtax revenue will be " &amp;  TEXT(Z10,"$#,0.00") &amp; " or " &amp; TEXT('FY23'!Z10+'FY23'!Z11-Z10,"$#,0.00") &amp; " less than in FY2023"</f>
        <v>FY2024 local surtax revenue will be $1,029,809.39 or -$62,165.78 less than in FY2023</v>
      </c>
    </row>
    <row r="144" spans="4:18" x14ac:dyDescent="0.25">
      <c r="D144" s="2" t="s">
        <v>60</v>
      </c>
      <c r="E144" t="str">
        <f>"FY2024 interest earned will be " &amp; TEXT(Z14,"$#,0.00") &amp; " or " &amp; TEXT('FY23'!Z14-Z14,"$#,0.00") &amp; " less than in FY2023"</f>
        <v>FY2024 interest earned will be $52,716.31 or -$6,474.73 less than in FY2023</v>
      </c>
      <c r="Q144" s="1"/>
    </row>
    <row r="145" spans="4:5" x14ac:dyDescent="0.25">
      <c r="D145" s="2" t="s">
        <v>109</v>
      </c>
      <c r="E145" t="s">
        <v>704</v>
      </c>
    </row>
    <row r="146" spans="4:5" x14ac:dyDescent="0.25">
      <c r="D146" s="2" t="s">
        <v>119</v>
      </c>
      <c r="E146" t="s">
        <v>705</v>
      </c>
    </row>
    <row r="147" spans="4:5" x14ac:dyDescent="0.25">
      <c r="D147" s="2" t="s">
        <v>120</v>
      </c>
      <c r="E147" t="str">
        <f>"FY2025 local surtax revenue will be " &amp; TEXT(Z96,"$#,0") &amp; " or " &amp; TEXT('FY22'!Z10 +'FY22'!Z11 - Z96, "$#,0.00") &amp; " less than in FY2022"</f>
        <v>FY2025 local surtax revenue will be $850,000 or $13,619.64 less than in FY2022</v>
      </c>
    </row>
    <row r="148" spans="4:5" x14ac:dyDescent="0.25">
      <c r="D148" s="2" t="s">
        <v>121</v>
      </c>
      <c r="E148" t="str">
        <f>"FY2025 state match revenue (expected on 15 November 2024) will be " &amp; TEXT(Z97,"$#,0.00") &amp; " or " &amp; TEXT(Z97/Z10,"0.0%") &amp; " of expected FY2024 local surtax revenue"</f>
        <v>FY2025 state match revenue (expected on 15 November 2024) will be $212,500.00 or 20.6% of expected FY2024 local surtax revenue</v>
      </c>
    </row>
    <row r="149" spans="4:5" x14ac:dyDescent="0.25">
      <c r="D149" s="2" t="s">
        <v>125</v>
      </c>
      <c r="E149" t="str">
        <f>"FY2025 interest earned will be " &amp; TEXT(Z98,"$#,0.00")</f>
        <v>FY2025 interest earned will be $7,410.00</v>
      </c>
    </row>
    <row r="150" spans="4:5" x14ac:dyDescent="0.25">
      <c r="D150" s="2" t="s">
        <v>126</v>
      </c>
      <c r="E150" t="s">
        <v>706</v>
      </c>
    </row>
  </sheetData>
  <sortState xmlns:xlrd2="http://schemas.microsoft.com/office/spreadsheetml/2017/richdata2" ref="A38:AB61">
    <sortCondition ref="C38:C61"/>
  </sortState>
  <mergeCells count="10">
    <mergeCell ref="D129:F129"/>
    <mergeCell ref="H129:J129"/>
    <mergeCell ref="L129:N129"/>
    <mergeCell ref="P129:R129"/>
    <mergeCell ref="X4:Z4"/>
    <mergeCell ref="D4:F4"/>
    <mergeCell ref="H4:J4"/>
    <mergeCell ref="L4:N4"/>
    <mergeCell ref="P4:R4"/>
    <mergeCell ref="T4:V4"/>
  </mergeCells>
  <printOptions horizontalCentered="1"/>
  <pageMargins left="0.25" right="0.25" top="0.75" bottom="0.75" header="0.3" footer="0.3"/>
  <pageSetup paperSize="5" scale="54" fitToHeight="0" orientation="landscape" r:id="rId1"/>
  <headerFooter>
    <oddFooter>&amp;L&amp;F&amp;CPage &amp;P of &amp;N&amp;R23 July 2024</oddFooter>
  </headerFooter>
  <rowBreaks count="1" manualBreakCount="1">
    <brk id="9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pageSetUpPr fitToPage="1"/>
  </sheetPr>
  <dimension ref="A2:Z138"/>
  <sheetViews>
    <sheetView zoomScaleNormal="100" workbookViewId="0">
      <pane xSplit="2" ySplit="6" topLeftCell="C106" activePane="bottomRight" state="frozen"/>
      <selection activeCell="G1" sqref="G1"/>
      <selection pane="topRight" activeCell="G1" sqref="G1"/>
      <selection pane="bottomLeft" activeCell="G1" sqref="G1"/>
      <selection pane="bottomRight" activeCell="A126" sqref="A126"/>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3.7109375" customWidth="1"/>
    <col min="18" max="18" width="14.7109375" customWidth="1"/>
    <col min="19" max="19" width="2.7109375" customWidth="1"/>
    <col min="20" max="22" width="12.7109375" customWidth="1"/>
    <col min="23" max="23" width="2.7109375" customWidth="1"/>
    <col min="24" max="26" width="14.7109375" customWidth="1"/>
  </cols>
  <sheetData>
    <row r="2" spans="2:26" x14ac:dyDescent="0.25">
      <c r="D2" t="s">
        <v>790</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652</v>
      </c>
      <c r="D7" s="8">
        <f>ROUND('FY22'!D82,2)</f>
        <v>265900</v>
      </c>
      <c r="E7" s="8">
        <f>ROUND('FY22'!E82,2)</f>
        <v>444359.03</v>
      </c>
      <c r="F7" s="8">
        <f>D7+E7</f>
        <v>710259.03</v>
      </c>
      <c r="H7" s="8">
        <f>ROUND('FY22'!H82,2)</f>
        <v>149540.01999999999</v>
      </c>
      <c r="I7" s="8">
        <f>ROUND('FY22'!I82,2)</f>
        <v>127674.91</v>
      </c>
      <c r="J7" s="8">
        <f>H7+I7</f>
        <v>277214.93</v>
      </c>
      <c r="L7" s="8">
        <f>ROUND('FY22'!L82,2)</f>
        <v>40241</v>
      </c>
      <c r="M7" s="8">
        <f>ROUND('FY22'!M82,2)</f>
        <v>38950.26</v>
      </c>
      <c r="N7" s="8">
        <f>L7+M7</f>
        <v>79191.260000000009</v>
      </c>
      <c r="P7" s="8">
        <f>ROUND('FY22'!P82,2)</f>
        <v>424203.45</v>
      </c>
      <c r="Q7" s="8">
        <f>ROUND('FY22'!Q82,2)</f>
        <v>436645.08</v>
      </c>
      <c r="R7" s="8">
        <f>P7+Q7</f>
        <v>860848.53</v>
      </c>
      <c r="T7" s="8">
        <f>ROUND('FY22'!T82,2)</f>
        <v>0</v>
      </c>
      <c r="U7" s="8">
        <f>ROUND('FY22'!U82,2)</f>
        <v>0</v>
      </c>
      <c r="V7" s="8">
        <f>T7+U7</f>
        <v>0</v>
      </c>
      <c r="X7" s="8">
        <f>D7+H7+L7+P7+T7</f>
        <v>879884.47</v>
      </c>
      <c r="Y7" s="8">
        <f>E7+I7+M7+Q7+U7</f>
        <v>1047629.28</v>
      </c>
      <c r="Z7" s="8">
        <f>F7+J7+N7+R7+V7</f>
        <v>1927513.75</v>
      </c>
    </row>
    <row r="9" spans="2:26" x14ac:dyDescent="0.25">
      <c r="B9" s="5" t="s">
        <v>11</v>
      </c>
      <c r="C9" s="5"/>
      <c r="T9" s="1"/>
      <c r="U9" s="1"/>
      <c r="V9" s="1"/>
    </row>
    <row r="10" spans="2:26" x14ac:dyDescent="0.25">
      <c r="B10" s="2" t="s">
        <v>709</v>
      </c>
      <c r="D10" s="9">
        <v>0</v>
      </c>
      <c r="E10" s="9">
        <f>ROUND(964115.74/10,2)</f>
        <v>96411.57</v>
      </c>
      <c r="F10" s="8">
        <f t="shared" ref="F10:F15" si="0">D10+E10</f>
        <v>96411.57</v>
      </c>
      <c r="H10" s="9">
        <v>0</v>
      </c>
      <c r="I10" s="9">
        <f>ROUND(964115.74/10,2)</f>
        <v>96411.57</v>
      </c>
      <c r="J10" s="8">
        <f t="shared" ref="J10:J15" si="1">H10+I10</f>
        <v>96411.57</v>
      </c>
      <c r="L10" s="9">
        <v>0</v>
      </c>
      <c r="M10" s="9">
        <f>ROUND(964115.74/10,2)</f>
        <v>96411.57</v>
      </c>
      <c r="N10" s="8">
        <f t="shared" ref="N10:N14" si="2">L10+M10</f>
        <v>96411.57</v>
      </c>
      <c r="P10" s="9">
        <v>0</v>
      </c>
      <c r="Q10" s="9">
        <f>964115.74-E10-I10-M10</f>
        <v>674881.0299999998</v>
      </c>
      <c r="R10" s="8">
        <f t="shared" ref="R10:R15" si="3">P10+Q10</f>
        <v>674881.0299999998</v>
      </c>
      <c r="T10" s="1"/>
      <c r="U10" s="1"/>
      <c r="V10" s="1"/>
      <c r="X10" s="8">
        <f t="shared" ref="X10:Z15" si="4">D10+H10+L10+P10+T10</f>
        <v>0</v>
      </c>
      <c r="Y10" s="8">
        <f t="shared" si="4"/>
        <v>964115.73999999976</v>
      </c>
      <c r="Z10" s="8">
        <f t="shared" si="4"/>
        <v>964115.73999999976</v>
      </c>
    </row>
    <row r="11" spans="2:26" x14ac:dyDescent="0.25">
      <c r="B11" s="2" t="s">
        <v>5</v>
      </c>
      <c r="D11" s="9">
        <v>0</v>
      </c>
      <c r="E11" s="9">
        <f>ROUND(3527.87/10,2)</f>
        <v>352.79</v>
      </c>
      <c r="F11" s="8">
        <f t="shared" si="0"/>
        <v>352.79</v>
      </c>
      <c r="H11" s="9">
        <v>0</v>
      </c>
      <c r="I11" s="9">
        <f>ROUND(3527.87/10,2)</f>
        <v>352.79</v>
      </c>
      <c r="J11" s="8">
        <f t="shared" si="1"/>
        <v>352.79</v>
      </c>
      <c r="L11" s="9">
        <v>0</v>
      </c>
      <c r="M11" s="9">
        <f>ROUND(3527.87/10,2)</f>
        <v>352.79</v>
      </c>
      <c r="N11" s="8">
        <f t="shared" si="2"/>
        <v>352.79</v>
      </c>
      <c r="P11" s="9">
        <v>0</v>
      </c>
      <c r="Q11" s="9">
        <f>3527.87-E11-I11-M11</f>
        <v>2469.5</v>
      </c>
      <c r="R11" s="8">
        <f t="shared" si="3"/>
        <v>2469.5</v>
      </c>
      <c r="T11" s="1"/>
      <c r="U11" s="1"/>
      <c r="V11" s="1"/>
      <c r="X11" s="8">
        <f t="shared" si="4"/>
        <v>0</v>
      </c>
      <c r="Y11" s="8">
        <f t="shared" si="4"/>
        <v>3527.87</v>
      </c>
      <c r="Z11" s="8">
        <f t="shared" si="4"/>
        <v>3527.87</v>
      </c>
    </row>
    <row r="12" spans="2:26" x14ac:dyDescent="0.25">
      <c r="B12" s="2" t="s">
        <v>453</v>
      </c>
      <c r="D12" s="9">
        <v>0</v>
      </c>
      <c r="E12" s="9">
        <f>ROUND(379892/10,2)+ROUND(103616/10,2)</f>
        <v>48350.799999999996</v>
      </c>
      <c r="F12" s="8">
        <f t="shared" si="0"/>
        <v>48350.799999999996</v>
      </c>
      <c r="H12" s="9">
        <v>0</v>
      </c>
      <c r="I12" s="9">
        <f>ROUND(379892/10,2)+ROUND(103616/10,2)</f>
        <v>48350.799999999996</v>
      </c>
      <c r="J12" s="8">
        <f t="shared" si="1"/>
        <v>48350.799999999996</v>
      </c>
      <c r="L12" s="9">
        <v>0</v>
      </c>
      <c r="M12" s="9">
        <f>ROUND(379892/10,2)+ROUND(103616/10,2)</f>
        <v>48350.799999999996</v>
      </c>
      <c r="N12" s="8">
        <f t="shared" si="2"/>
        <v>48350.799999999996</v>
      </c>
      <c r="P12" s="9">
        <v>0</v>
      </c>
      <c r="Q12" s="9">
        <f>379892+103616-E12-I12-M12</f>
        <v>338455.60000000003</v>
      </c>
      <c r="R12" s="8">
        <f t="shared" si="3"/>
        <v>338455.60000000003</v>
      </c>
      <c r="T12" s="1"/>
      <c r="U12" s="1"/>
      <c r="V12" s="1"/>
      <c r="X12" s="8">
        <f t="shared" si="4"/>
        <v>0</v>
      </c>
      <c r="Y12" s="8">
        <f t="shared" si="4"/>
        <v>483508</v>
      </c>
      <c r="Z12" s="8">
        <f t="shared" si="4"/>
        <v>483508</v>
      </c>
    </row>
    <row r="13" spans="2:26" x14ac:dyDescent="0.25">
      <c r="B13" s="2" t="s">
        <v>406</v>
      </c>
      <c r="D13" s="9">
        <v>0</v>
      </c>
      <c r="E13" s="9">
        <v>0</v>
      </c>
      <c r="F13" s="8">
        <f t="shared" si="0"/>
        <v>0</v>
      </c>
      <c r="H13" s="9">
        <v>0</v>
      </c>
      <c r="I13" s="9">
        <v>0</v>
      </c>
      <c r="J13" s="8">
        <f t="shared" si="1"/>
        <v>0</v>
      </c>
      <c r="L13" s="9">
        <v>0</v>
      </c>
      <c r="M13" s="9">
        <v>0</v>
      </c>
      <c r="N13" s="8">
        <f t="shared" si="2"/>
        <v>0</v>
      </c>
      <c r="P13" s="9">
        <v>500</v>
      </c>
      <c r="Q13" s="9">
        <v>0</v>
      </c>
      <c r="R13" s="8">
        <f t="shared" si="3"/>
        <v>500</v>
      </c>
      <c r="T13" s="1"/>
      <c r="U13" s="1"/>
      <c r="V13" s="1"/>
      <c r="X13" s="8">
        <f>D13+H13+L13+P13+T13</f>
        <v>500</v>
      </c>
      <c r="Y13" s="8">
        <f>E13+I13+M13+Q13+U13</f>
        <v>0</v>
      </c>
      <c r="Z13" s="8">
        <f>F13+J13+N13+R13+V13</f>
        <v>500</v>
      </c>
    </row>
    <row r="14" spans="2:26" ht="15.75" thickBot="1" x14ac:dyDescent="0.3">
      <c r="B14" s="2" t="s">
        <v>653</v>
      </c>
      <c r="D14" s="9">
        <v>0</v>
      </c>
      <c r="E14" s="9">
        <f>ROUND(46241.58/10,2)</f>
        <v>4624.16</v>
      </c>
      <c r="F14" s="15">
        <f t="shared" si="0"/>
        <v>4624.16</v>
      </c>
      <c r="H14" s="14">
        <v>0</v>
      </c>
      <c r="I14" s="9">
        <f>ROUND(46241.58/10,2)</f>
        <v>4624.16</v>
      </c>
      <c r="J14" s="15">
        <f t="shared" si="1"/>
        <v>4624.16</v>
      </c>
      <c r="L14" s="14">
        <v>0</v>
      </c>
      <c r="M14" s="9">
        <f>ROUND(46241.58/10,2)</f>
        <v>4624.16</v>
      </c>
      <c r="N14" s="15">
        <f t="shared" si="2"/>
        <v>4624.16</v>
      </c>
      <c r="P14" s="14">
        <v>0</v>
      </c>
      <c r="Q14" s="14">
        <f>46241.58-E14-I14-M14</f>
        <v>32369.099999999995</v>
      </c>
      <c r="R14" s="15">
        <f t="shared" si="3"/>
        <v>32369.099999999995</v>
      </c>
      <c r="T14" s="1"/>
      <c r="U14" s="1"/>
      <c r="V14" s="1"/>
      <c r="X14" s="15">
        <f t="shared" si="4"/>
        <v>0</v>
      </c>
      <c r="Y14" s="15">
        <f t="shared" si="4"/>
        <v>46241.579999999994</v>
      </c>
      <c r="Z14" s="15">
        <f t="shared" si="4"/>
        <v>46241.579999999994</v>
      </c>
    </row>
    <row r="15" spans="2:26" x14ac:dyDescent="0.25">
      <c r="B15" s="2" t="s">
        <v>28</v>
      </c>
      <c r="C15" s="2"/>
      <c r="D15" s="26">
        <f>SUM(D10:D14)</f>
        <v>0</v>
      </c>
      <c r="E15" s="26">
        <f>SUM(E10:E14)</f>
        <v>149739.32</v>
      </c>
      <c r="F15" s="26">
        <f t="shared" si="0"/>
        <v>149739.32</v>
      </c>
      <c r="H15" s="26">
        <f>SUM(H10:H14)</f>
        <v>0</v>
      </c>
      <c r="I15" s="26">
        <f>SUM(I10:I14)</f>
        <v>149739.32</v>
      </c>
      <c r="J15" s="26">
        <f t="shared" si="1"/>
        <v>149739.32</v>
      </c>
      <c r="L15" s="26">
        <f>SUM(L10:L14)</f>
        <v>0</v>
      </c>
      <c r="M15" s="26">
        <f>SUM(M10:M14)</f>
        <v>149739.32</v>
      </c>
      <c r="N15" s="26">
        <f t="shared" ref="N15" si="5">L15+M15</f>
        <v>149739.32</v>
      </c>
      <c r="P15" s="26">
        <f>SUM(P10:P14)</f>
        <v>500</v>
      </c>
      <c r="Q15" s="26">
        <f>SUM(Q10:Q14)</f>
        <v>1048175.2299999999</v>
      </c>
      <c r="R15" s="26">
        <f t="shared" si="3"/>
        <v>1048675.23</v>
      </c>
      <c r="S15" s="1"/>
      <c r="T15" s="26">
        <f>SUM(T10:T14)</f>
        <v>0</v>
      </c>
      <c r="U15" s="26">
        <f>SUM(U10:U14)</f>
        <v>0</v>
      </c>
      <c r="V15" s="26">
        <f>T15+U15</f>
        <v>0</v>
      </c>
      <c r="X15" s="26">
        <f t="shared" si="4"/>
        <v>500</v>
      </c>
      <c r="Y15" s="26">
        <f t="shared" si="4"/>
        <v>1497393.19</v>
      </c>
      <c r="Z15" s="26">
        <f t="shared" si="4"/>
        <v>1497893.19</v>
      </c>
    </row>
    <row r="17" spans="2:26" x14ac:dyDescent="0.25">
      <c r="B17" s="5" t="s">
        <v>671</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-15500</v>
      </c>
      <c r="R18" s="8">
        <f>P18+Q18</f>
        <v>-15500</v>
      </c>
      <c r="T18" s="9">
        <v>15500</v>
      </c>
      <c r="U18" s="9">
        <v>0</v>
      </c>
      <c r="V18" s="8">
        <f>T18+U18</f>
        <v>15500</v>
      </c>
      <c r="X18" s="8">
        <f t="shared" ref="X18:Z28" si="6">D18+H18+L18+P18+T18</f>
        <v>15500</v>
      </c>
      <c r="Y18" s="8">
        <f t="shared" si="6"/>
        <v>-15500</v>
      </c>
      <c r="Z18" s="8">
        <f t="shared" si="6"/>
        <v>0</v>
      </c>
    </row>
    <row r="19" spans="2:26" x14ac:dyDescent="0.25">
      <c r="B19" s="2" t="s">
        <v>52</v>
      </c>
      <c r="C19" s="5"/>
      <c r="E19" s="1"/>
      <c r="F19" s="1"/>
      <c r="H19" s="1"/>
      <c r="I19" s="1"/>
      <c r="J19" s="1"/>
      <c r="M19" s="1"/>
      <c r="N19" s="1"/>
      <c r="P19" s="8">
        <v>0</v>
      </c>
      <c r="Q19" s="8">
        <f>-T19</f>
        <v>-5000</v>
      </c>
      <c r="R19" s="8">
        <f>P19+Q19</f>
        <v>-5000</v>
      </c>
      <c r="T19" s="9">
        <f>3500+1500</f>
        <v>5000</v>
      </c>
      <c r="U19" s="9">
        <v>0</v>
      </c>
      <c r="V19" s="8">
        <f>T19+U19</f>
        <v>5000</v>
      </c>
      <c r="X19" s="8">
        <f t="shared" si="6"/>
        <v>5000</v>
      </c>
      <c r="Y19" s="8">
        <f t="shared" si="6"/>
        <v>-5000</v>
      </c>
      <c r="Z19" s="8">
        <f t="shared" si="6"/>
        <v>0</v>
      </c>
    </row>
    <row r="20" spans="2:26" x14ac:dyDescent="0.25">
      <c r="B20" s="2" t="s">
        <v>848</v>
      </c>
      <c r="C20" s="6" t="s">
        <v>672</v>
      </c>
      <c r="H20" s="1"/>
      <c r="I20" s="1"/>
      <c r="J20" s="1"/>
      <c r="L20" s="9">
        <f>115000-8009</f>
        <v>106991</v>
      </c>
      <c r="M20" s="8">
        <f>-L20</f>
        <v>-106991</v>
      </c>
      <c r="N20" s="8">
        <f>L20+M20</f>
        <v>0</v>
      </c>
      <c r="P20" s="9">
        <v>285000</v>
      </c>
      <c r="Q20" s="8">
        <f>-P20</f>
        <v>-285000</v>
      </c>
      <c r="R20" s="8">
        <f>P20+Q20</f>
        <v>0</v>
      </c>
      <c r="X20" s="8">
        <f t="shared" ref="X20" si="7">D20+H20+L20+P20+T20</f>
        <v>391991</v>
      </c>
      <c r="Y20" s="8">
        <f t="shared" ref="Y20" si="8">E20+I20+M20+Q20+U20</f>
        <v>-391991</v>
      </c>
      <c r="Z20" s="8">
        <f t="shared" ref="Z20" si="9">F20+J20+N20+R20+V20</f>
        <v>0</v>
      </c>
    </row>
    <row r="21" spans="2:26" x14ac:dyDescent="0.25">
      <c r="B21" s="2" t="s">
        <v>673</v>
      </c>
      <c r="C21" s="6" t="s">
        <v>674</v>
      </c>
      <c r="H21" s="9">
        <v>6000</v>
      </c>
      <c r="I21" s="8">
        <f>-H21</f>
        <v>-6000</v>
      </c>
      <c r="J21" s="8">
        <f>H21+I21</f>
        <v>0</v>
      </c>
      <c r="L21" s="1"/>
      <c r="M21" s="1"/>
      <c r="X21" s="8">
        <f t="shared" ref="X21" si="10">D21+H21+L21+P21+T21</f>
        <v>6000</v>
      </c>
      <c r="Y21" s="8">
        <f t="shared" ref="Y21" si="11">E21+I21+M21+Q21+U21</f>
        <v>-6000</v>
      </c>
      <c r="Z21" s="8">
        <f t="shared" ref="Z21" si="12">F21+J21+N21+R21+V21</f>
        <v>0</v>
      </c>
    </row>
    <row r="22" spans="2:26" x14ac:dyDescent="0.25">
      <c r="B22" s="2" t="s">
        <v>675</v>
      </c>
      <c r="C22" s="6" t="s">
        <v>676</v>
      </c>
      <c r="L22" s="1"/>
      <c r="M22" s="1"/>
      <c r="P22" s="9">
        <v>60154</v>
      </c>
      <c r="Q22" s="8">
        <f>-P22</f>
        <v>-60154</v>
      </c>
      <c r="R22" s="8">
        <f>P22+Q22</f>
        <v>0</v>
      </c>
      <c r="X22" s="8">
        <f t="shared" ref="X22" si="13">D22+H22+L22+P22+T22</f>
        <v>60154</v>
      </c>
      <c r="Y22" s="8">
        <f t="shared" ref="Y22" si="14">E22+I22+M22+Q22+U22</f>
        <v>-60154</v>
      </c>
      <c r="Z22" s="8">
        <f t="shared" ref="Z22" si="15">F22+J22+N22+R22+V22</f>
        <v>0</v>
      </c>
    </row>
    <row r="23" spans="2:26" x14ac:dyDescent="0.25">
      <c r="B23" s="2" t="s">
        <v>677</v>
      </c>
      <c r="C23" s="6" t="s">
        <v>678</v>
      </c>
      <c r="H23" s="9">
        <v>80000</v>
      </c>
      <c r="I23" s="8">
        <f>-H23</f>
        <v>-80000</v>
      </c>
      <c r="J23" s="8">
        <f>H23+I23</f>
        <v>0</v>
      </c>
      <c r="L23" s="1"/>
      <c r="M23" s="1"/>
      <c r="X23" s="8">
        <f t="shared" ref="X23:X24" si="16">D23+H23+L23+P23+T23</f>
        <v>80000</v>
      </c>
      <c r="Y23" s="8">
        <f t="shared" ref="Y23:Y24" si="17">E23+I23+M23+Q23+U23</f>
        <v>-80000</v>
      </c>
      <c r="Z23" s="8">
        <f t="shared" ref="Z23:Z24" si="18">F23+J23+N23+R23+V23</f>
        <v>0</v>
      </c>
    </row>
    <row r="24" spans="2:26" x14ac:dyDescent="0.25">
      <c r="B24" s="2" t="s">
        <v>850</v>
      </c>
      <c r="C24" s="6" t="s">
        <v>679</v>
      </c>
      <c r="D24" s="9">
        <v>53543</v>
      </c>
      <c r="E24" s="8">
        <f>-D24</f>
        <v>-53543</v>
      </c>
      <c r="F24" s="8">
        <f>D24+E24</f>
        <v>0</v>
      </c>
      <c r="H24" s="1"/>
      <c r="I24" s="1"/>
      <c r="J24" s="1"/>
      <c r="L24" s="1"/>
      <c r="M24" s="1"/>
      <c r="X24" s="8">
        <f t="shared" si="16"/>
        <v>53543</v>
      </c>
      <c r="Y24" s="8">
        <f t="shared" si="17"/>
        <v>-53543</v>
      </c>
      <c r="Z24" s="8">
        <f t="shared" si="18"/>
        <v>0</v>
      </c>
    </row>
    <row r="25" spans="2:26" x14ac:dyDescent="0.25">
      <c r="B25" s="2" t="s">
        <v>680</v>
      </c>
      <c r="C25" s="6" t="s">
        <v>681</v>
      </c>
      <c r="L25" s="1"/>
      <c r="M25" s="1"/>
      <c r="P25" s="9">
        <v>39545</v>
      </c>
      <c r="Q25" s="8">
        <f>-P25</f>
        <v>-39545</v>
      </c>
      <c r="R25" s="8">
        <f>P25+Q25</f>
        <v>0</v>
      </c>
      <c r="X25" s="8">
        <f t="shared" ref="X25" si="19">D25+H25+L25+P25+T25</f>
        <v>39545</v>
      </c>
      <c r="Y25" s="8">
        <f t="shared" ref="Y25" si="20">E25+I25+M25+Q25+U25</f>
        <v>-39545</v>
      </c>
      <c r="Z25" s="8">
        <f t="shared" ref="Z25" si="21">F25+J25+N25+R25+V25</f>
        <v>0</v>
      </c>
    </row>
    <row r="26" spans="2:26" x14ac:dyDescent="0.25">
      <c r="B26" s="2" t="s">
        <v>682</v>
      </c>
      <c r="C26" s="6" t="s">
        <v>683</v>
      </c>
      <c r="L26" s="1"/>
      <c r="M26" s="1"/>
      <c r="P26" s="9">
        <v>146532</v>
      </c>
      <c r="Q26" s="8">
        <f>-P26</f>
        <v>-146532</v>
      </c>
      <c r="R26" s="8">
        <f>P26+Q26</f>
        <v>0</v>
      </c>
      <c r="X26" s="8">
        <f t="shared" ref="X26:X27" si="22">D26+H26+L26+P26+T26</f>
        <v>146532</v>
      </c>
      <c r="Y26" s="8">
        <f t="shared" ref="Y26:Y27" si="23">E26+I26+M26+Q26+U26</f>
        <v>-146532</v>
      </c>
      <c r="Z26" s="8">
        <f t="shared" ref="Z26:Z27" si="24">F26+J26+N26+R26+V26</f>
        <v>0</v>
      </c>
    </row>
    <row r="27" spans="2:26" ht="15.75" thickBot="1" x14ac:dyDescent="0.3">
      <c r="B27" s="2" t="s">
        <v>888</v>
      </c>
      <c r="C27" s="6" t="s">
        <v>685</v>
      </c>
      <c r="L27" s="1"/>
      <c r="M27" s="1"/>
      <c r="P27" s="9">
        <v>0</v>
      </c>
      <c r="Q27" s="8">
        <f>-P27</f>
        <v>0</v>
      </c>
      <c r="R27" s="8">
        <f>P27+Q27</f>
        <v>0</v>
      </c>
      <c r="X27" s="8">
        <f t="shared" si="22"/>
        <v>0</v>
      </c>
      <c r="Y27" s="8">
        <f t="shared" si="23"/>
        <v>0</v>
      </c>
      <c r="Z27" s="8">
        <f t="shared" si="24"/>
        <v>0</v>
      </c>
    </row>
    <row r="28" spans="2:26" x14ac:dyDescent="0.25">
      <c r="B28" s="2" t="s">
        <v>654</v>
      </c>
      <c r="C28" s="2"/>
      <c r="D28" s="26">
        <f>SUM(D18:D27)</f>
        <v>53543</v>
      </c>
      <c r="E28" s="26">
        <f>SUM(E18:E27)</f>
        <v>-53543</v>
      </c>
      <c r="F28" s="26">
        <f>D28+E28</f>
        <v>0</v>
      </c>
      <c r="H28" s="26">
        <f>SUM(H18:H27)</f>
        <v>86000</v>
      </c>
      <c r="I28" s="26">
        <f>SUM(I18:I27)</f>
        <v>-86000</v>
      </c>
      <c r="J28" s="26">
        <f>H28+I28</f>
        <v>0</v>
      </c>
      <c r="L28" s="26">
        <f>SUM(L18:L27)</f>
        <v>106991</v>
      </c>
      <c r="M28" s="26">
        <f>SUM(M18:M27)</f>
        <v>-106991</v>
      </c>
      <c r="N28" s="26">
        <f>L28+M28</f>
        <v>0</v>
      </c>
      <c r="P28" s="26">
        <f>SUM(P18:P27)</f>
        <v>531231</v>
      </c>
      <c r="Q28" s="26">
        <f>SUM(Q18:Q27)</f>
        <v>-551731</v>
      </c>
      <c r="R28" s="26">
        <f>P28+Q28</f>
        <v>-20500</v>
      </c>
      <c r="S28" s="1"/>
      <c r="T28" s="26">
        <f>SUM(T18:T27)</f>
        <v>20500</v>
      </c>
      <c r="U28" s="26">
        <f>SUM(U18:U27)</f>
        <v>0</v>
      </c>
      <c r="V28" s="26">
        <f>T28+U28</f>
        <v>20500</v>
      </c>
      <c r="X28" s="26">
        <f>D28+H28+L28+P28+T28</f>
        <v>798265</v>
      </c>
      <c r="Y28" s="26">
        <f t="shared" si="6"/>
        <v>-798265</v>
      </c>
      <c r="Z28" s="26">
        <f t="shared" si="6"/>
        <v>0</v>
      </c>
    </row>
    <row r="29" spans="2:26" x14ac:dyDescent="0.25">
      <c r="H29" s="1"/>
      <c r="I29" s="1"/>
      <c r="J29" s="1"/>
      <c r="L29" s="1"/>
      <c r="M29" s="1"/>
      <c r="N29" s="1"/>
      <c r="P29" s="1"/>
      <c r="Q29" s="1"/>
      <c r="R29" s="1"/>
    </row>
    <row r="30" spans="2:26" x14ac:dyDescent="0.25">
      <c r="B30" s="5" t="s">
        <v>659</v>
      </c>
      <c r="H30" s="1"/>
      <c r="I30" s="1"/>
      <c r="J30" s="1"/>
      <c r="L30" s="1"/>
      <c r="M30" s="1"/>
      <c r="N30" s="1"/>
      <c r="Q30" s="1"/>
      <c r="R30" s="1"/>
    </row>
    <row r="31" spans="2:26" x14ac:dyDescent="0.25">
      <c r="B31" s="2" t="s">
        <v>890</v>
      </c>
      <c r="C31" s="6" t="s">
        <v>647</v>
      </c>
      <c r="E31" s="1"/>
      <c r="F31" s="1"/>
      <c r="H31" s="1"/>
      <c r="I31" s="1"/>
      <c r="J31" s="1"/>
      <c r="M31" s="1"/>
      <c r="N31" s="1"/>
      <c r="P31" s="9">
        <v>8835</v>
      </c>
      <c r="Q31" s="8">
        <f>-P31</f>
        <v>-8835</v>
      </c>
      <c r="R31" s="8">
        <f>P31+Q31</f>
        <v>0</v>
      </c>
      <c r="X31" s="8">
        <f t="shared" ref="X31" si="25">D31+H31+L31+P31+T31</f>
        <v>8835</v>
      </c>
      <c r="Y31" s="8">
        <f t="shared" ref="Y31" si="26">E31+I31+M31+Q31+U31</f>
        <v>-8835</v>
      </c>
      <c r="Z31" s="8">
        <f t="shared" ref="Z31" si="27">F31+J31+N31+R31+V31</f>
        <v>0</v>
      </c>
    </row>
    <row r="32" spans="2:26" ht="15.75" thickBot="1" x14ac:dyDescent="0.3">
      <c r="B32" s="2" t="s">
        <v>753</v>
      </c>
      <c r="C32" s="6" t="s">
        <v>752</v>
      </c>
      <c r="H32" s="9">
        <v>75000</v>
      </c>
      <c r="I32" s="8">
        <f>-H32</f>
        <v>-75000</v>
      </c>
      <c r="L32" s="1"/>
      <c r="M32" s="1"/>
      <c r="P32" s="9">
        <f>250000-H32</f>
        <v>175000</v>
      </c>
      <c r="Q32" s="8">
        <f>-P32</f>
        <v>-175000</v>
      </c>
      <c r="R32" s="8">
        <f>P32+Q32</f>
        <v>0</v>
      </c>
      <c r="X32" s="8">
        <f t="shared" ref="X32" si="28">D32+H32+L32+P32+T32</f>
        <v>250000</v>
      </c>
      <c r="Y32" s="8">
        <f t="shared" ref="Y32" si="29">E32+I32+M32+Q32+U32</f>
        <v>-250000</v>
      </c>
      <c r="Z32" s="8">
        <f t="shared" ref="Z32" si="30">F32+J32+N32+R32+V32</f>
        <v>0</v>
      </c>
    </row>
    <row r="33" spans="2:26" x14ac:dyDescent="0.25">
      <c r="B33" s="2" t="s">
        <v>660</v>
      </c>
      <c r="D33" s="26">
        <f>SUM(D31:D32)</f>
        <v>0</v>
      </c>
      <c r="E33" s="26">
        <f>SUM(E31:E32)</f>
        <v>0</v>
      </c>
      <c r="F33" s="26">
        <f>D33+E33</f>
        <v>0</v>
      </c>
      <c r="H33" s="26">
        <f>SUM(H31:H32)</f>
        <v>75000</v>
      </c>
      <c r="I33" s="26">
        <f>SUM(I31:I32)</f>
        <v>-75000</v>
      </c>
      <c r="J33" s="26">
        <f>H33+I33</f>
        <v>0</v>
      </c>
      <c r="L33" s="26">
        <f>SUM(L31:L32)</f>
        <v>0</v>
      </c>
      <c r="M33" s="26">
        <f>SUM(M31:M32)</f>
        <v>0</v>
      </c>
      <c r="N33" s="26">
        <f>L33+M33</f>
        <v>0</v>
      </c>
      <c r="P33" s="26">
        <f>SUM(P31:P32)</f>
        <v>183835</v>
      </c>
      <c r="Q33" s="26">
        <f>SUM(Q31:Q32)</f>
        <v>-183835</v>
      </c>
      <c r="R33" s="26">
        <f>P33+Q33</f>
        <v>0</v>
      </c>
      <c r="S33" s="1"/>
      <c r="T33" s="26">
        <f>SUM(T31:T32)</f>
        <v>0</v>
      </c>
      <c r="U33" s="26">
        <f>SUM(U31:U32)</f>
        <v>0</v>
      </c>
      <c r="V33" s="26">
        <f>T33+U33</f>
        <v>0</v>
      </c>
      <c r="X33" s="26">
        <f t="shared" ref="X33:Z33" si="31">D33+H33+L33+P33+T33</f>
        <v>258835</v>
      </c>
      <c r="Y33" s="26">
        <f t="shared" si="31"/>
        <v>-258835</v>
      </c>
      <c r="Z33" s="26">
        <f t="shared" si="31"/>
        <v>0</v>
      </c>
    </row>
    <row r="34" spans="2:26" x14ac:dyDescent="0.25">
      <c r="H34" s="1"/>
      <c r="I34" s="1"/>
      <c r="J34" s="1"/>
      <c r="L34" s="1"/>
      <c r="M34" s="1"/>
      <c r="N34" s="1"/>
      <c r="P34" s="1"/>
      <c r="Q34" s="1"/>
      <c r="R34" s="1"/>
    </row>
    <row r="35" spans="2:26" x14ac:dyDescent="0.25">
      <c r="B35" s="5" t="s">
        <v>755</v>
      </c>
      <c r="H35" s="1"/>
      <c r="I35" s="1"/>
      <c r="J35" s="1"/>
      <c r="L35" s="1"/>
      <c r="M35" s="1"/>
      <c r="N35" s="1"/>
      <c r="P35" s="1"/>
      <c r="Q35" s="1"/>
      <c r="R35" s="1"/>
    </row>
    <row r="36" spans="2:26" ht="15.75" thickBot="1" x14ac:dyDescent="0.3">
      <c r="B36" s="2" t="s">
        <v>888</v>
      </c>
      <c r="C36" s="6" t="s">
        <v>685</v>
      </c>
      <c r="L36" s="9">
        <v>66000</v>
      </c>
      <c r="M36" s="8">
        <f>-L36</f>
        <v>-66000</v>
      </c>
      <c r="N36" s="8">
        <f>L36+M36</f>
        <v>0</v>
      </c>
      <c r="P36" s="9">
        <f>814000*0 + 794000</f>
        <v>794000</v>
      </c>
      <c r="Q36" s="8">
        <f>-P36</f>
        <v>-794000</v>
      </c>
      <c r="R36" s="8">
        <f>P36+Q36</f>
        <v>0</v>
      </c>
      <c r="X36" s="8">
        <f>D36+H36+L36+P36+T36</f>
        <v>860000</v>
      </c>
      <c r="Y36" s="8">
        <f t="shared" ref="Y36:Y37" si="32">E36+I36+M36+Q36+U36</f>
        <v>-860000</v>
      </c>
      <c r="Z36" s="8">
        <f t="shared" ref="Z36:Z37" si="33">F36+J36+N36+R36+V36</f>
        <v>0</v>
      </c>
    </row>
    <row r="37" spans="2:26" x14ac:dyDescent="0.25">
      <c r="B37" s="2" t="s">
        <v>756</v>
      </c>
      <c r="D37" s="26">
        <f>SUM(D36:D36)</f>
        <v>0</v>
      </c>
      <c r="E37" s="26">
        <f>SUM(E36:E36)</f>
        <v>0</v>
      </c>
      <c r="F37" s="26">
        <f>D37+E37</f>
        <v>0</v>
      </c>
      <c r="H37" s="26">
        <f>SUM(H36:H36)</f>
        <v>0</v>
      </c>
      <c r="I37" s="26">
        <f>SUM(I36:I36)</f>
        <v>0</v>
      </c>
      <c r="J37" s="26">
        <f>H37+I37</f>
        <v>0</v>
      </c>
      <c r="L37" s="26">
        <f>SUM(L36:L36)</f>
        <v>66000</v>
      </c>
      <c r="M37" s="26">
        <f>SUM(M36:M36)</f>
        <v>-66000</v>
      </c>
      <c r="N37" s="26">
        <f>L37+M37</f>
        <v>0</v>
      </c>
      <c r="P37" s="26">
        <f>SUM(P36:P36)</f>
        <v>794000</v>
      </c>
      <c r="Q37" s="26">
        <f>SUM(Q36:Q36)</f>
        <v>-794000</v>
      </c>
      <c r="R37" s="26">
        <f>P37+Q37</f>
        <v>0</v>
      </c>
      <c r="T37" s="26">
        <f>SUM(T36:T36)</f>
        <v>0</v>
      </c>
      <c r="U37" s="26">
        <f>SUM(U36:U36)</f>
        <v>0</v>
      </c>
      <c r="V37" s="26">
        <f>T37+U37</f>
        <v>0</v>
      </c>
      <c r="X37" s="26">
        <f t="shared" ref="X37" si="34">D37+H37+L37+P37+T37</f>
        <v>860000</v>
      </c>
      <c r="Y37" s="26">
        <f t="shared" si="32"/>
        <v>-860000</v>
      </c>
      <c r="Z37" s="26">
        <f t="shared" si="33"/>
        <v>0</v>
      </c>
    </row>
    <row r="38" spans="2:26" x14ac:dyDescent="0.25">
      <c r="H38" s="1"/>
      <c r="I38" s="1"/>
      <c r="J38" s="1"/>
      <c r="L38" s="1"/>
      <c r="M38" s="1"/>
      <c r="N38" s="1"/>
      <c r="P38" s="1"/>
      <c r="Q38" s="1"/>
      <c r="R38" s="1"/>
    </row>
    <row r="39" spans="2:26" x14ac:dyDescent="0.25">
      <c r="B39" s="5" t="s">
        <v>8</v>
      </c>
      <c r="C39" s="5"/>
      <c r="H39" s="1"/>
      <c r="I39" s="1"/>
      <c r="J39" s="1"/>
      <c r="L39" s="1"/>
      <c r="M39" s="1"/>
      <c r="N39" s="1"/>
      <c r="P39" s="1"/>
      <c r="Q39" s="1"/>
    </row>
    <row r="40" spans="2:26" x14ac:dyDescent="0.25">
      <c r="B40" s="2" t="s">
        <v>7</v>
      </c>
      <c r="C40" s="2"/>
      <c r="D40" s="1"/>
      <c r="E40" s="1"/>
      <c r="F40" s="1"/>
      <c r="H40" s="1"/>
      <c r="I40" s="1"/>
      <c r="J40" s="1"/>
      <c r="T40" s="9">
        <f>-15500-1410.3</f>
        <v>-16910.3</v>
      </c>
      <c r="U40" s="9">
        <v>0</v>
      </c>
      <c r="V40" s="8">
        <f>T40+U40</f>
        <v>-16910.3</v>
      </c>
      <c r="X40" s="8">
        <f t="shared" ref="X40:Y52" si="35">D40+H40+L40+P40+T40</f>
        <v>-16910.3</v>
      </c>
      <c r="Y40" s="8">
        <f t="shared" si="35"/>
        <v>0</v>
      </c>
      <c r="Z40" s="8">
        <f t="shared" ref="Z40:Z52" si="36">X40+Y40</f>
        <v>-16910.3</v>
      </c>
    </row>
    <row r="41" spans="2:26" x14ac:dyDescent="0.25">
      <c r="B41" s="2" t="s">
        <v>52</v>
      </c>
      <c r="C41" s="2"/>
      <c r="D41" s="1"/>
      <c r="E41" s="1"/>
      <c r="F41" s="1"/>
      <c r="H41" s="1"/>
      <c r="I41" s="1"/>
      <c r="J41" s="1"/>
      <c r="L41" s="1"/>
      <c r="M41" s="1"/>
      <c r="N41" s="1"/>
      <c r="Q41" s="1"/>
      <c r="R41" s="1"/>
      <c r="T41" s="9">
        <f>-3500-89.7</f>
        <v>-3589.7</v>
      </c>
      <c r="U41" s="9">
        <v>0</v>
      </c>
      <c r="V41" s="8">
        <f>T41+U41</f>
        <v>-3589.7</v>
      </c>
      <c r="X41" s="8">
        <f t="shared" si="35"/>
        <v>-3589.7</v>
      </c>
      <c r="Y41" s="8">
        <f t="shared" si="35"/>
        <v>0</v>
      </c>
      <c r="Z41" s="8">
        <f t="shared" si="36"/>
        <v>-3589.7</v>
      </c>
    </row>
    <row r="42" spans="2:26" x14ac:dyDescent="0.25">
      <c r="B42" s="2" t="s">
        <v>306</v>
      </c>
      <c r="C42" s="6" t="s">
        <v>354</v>
      </c>
      <c r="D42" s="1"/>
      <c r="E42" s="1"/>
      <c r="F42" s="1"/>
      <c r="H42" s="9">
        <v>0</v>
      </c>
      <c r="I42" s="9">
        <v>0</v>
      </c>
      <c r="J42" s="8">
        <f>H42+I42</f>
        <v>0</v>
      </c>
      <c r="L42" s="1"/>
      <c r="M42" s="1"/>
      <c r="N42" s="1"/>
      <c r="Q42" s="1"/>
      <c r="R42" s="1"/>
      <c r="X42" s="8">
        <f t="shared" ref="X42" si="37">D42+H42+L42+P42+T42</f>
        <v>0</v>
      </c>
      <c r="Y42" s="8">
        <f t="shared" ref="Y42" si="38">E42+I42+M42+Q42+U42</f>
        <v>0</v>
      </c>
      <c r="Z42" s="8">
        <f t="shared" ref="Z42" si="39">X42+Y42</f>
        <v>0</v>
      </c>
    </row>
    <row r="43" spans="2:26" x14ac:dyDescent="0.25">
      <c r="B43" s="2" t="s">
        <v>582</v>
      </c>
      <c r="C43" s="6" t="s">
        <v>378</v>
      </c>
      <c r="D43" s="1"/>
      <c r="E43" s="1"/>
      <c r="F43" s="1"/>
      <c r="H43" s="9">
        <v>0</v>
      </c>
      <c r="I43" s="9">
        <v>0</v>
      </c>
      <c r="J43" s="8">
        <f>H43+I43</f>
        <v>0</v>
      </c>
      <c r="L43" s="1"/>
      <c r="M43" s="1"/>
      <c r="N43" s="1"/>
      <c r="Q43" s="1"/>
      <c r="R43" s="1"/>
      <c r="X43" s="8">
        <f t="shared" ref="X43" si="40">D43+H43+L43+P43+T43</f>
        <v>0</v>
      </c>
      <c r="Y43" s="8">
        <f t="shared" ref="Y43" si="41">E43+I43+M43+Q43+U43</f>
        <v>0</v>
      </c>
      <c r="Z43" s="8">
        <f t="shared" ref="Z43" si="42">X43+Y43</f>
        <v>0</v>
      </c>
    </row>
    <row r="44" spans="2:26" x14ac:dyDescent="0.25">
      <c r="B44" s="2" t="s">
        <v>410</v>
      </c>
      <c r="C44" s="6" t="s">
        <v>414</v>
      </c>
      <c r="D44" s="1"/>
      <c r="E44" s="1"/>
      <c r="F44" s="1"/>
      <c r="H44" s="9">
        <v>0</v>
      </c>
      <c r="I44" s="9">
        <v>0</v>
      </c>
      <c r="J44" s="8">
        <f>H44+I44</f>
        <v>0</v>
      </c>
      <c r="L44" s="1"/>
      <c r="M44" s="1"/>
      <c r="N44" s="1"/>
      <c r="Q44" s="1"/>
      <c r="R44" s="1"/>
      <c r="X44" s="8">
        <f t="shared" ref="X44:X49" si="43">D44+H44+L44+P44+T44</f>
        <v>0</v>
      </c>
      <c r="Y44" s="8">
        <f t="shared" ref="Y44:Y49" si="44">E44+I44+M44+Q44+U44</f>
        <v>0</v>
      </c>
      <c r="Z44" s="8">
        <f t="shared" ref="Z44:Z49" si="45">X44+Y44</f>
        <v>0</v>
      </c>
    </row>
    <row r="45" spans="2:26" x14ac:dyDescent="0.25">
      <c r="B45" s="2" t="s">
        <v>469</v>
      </c>
      <c r="C45" s="6" t="s">
        <v>463</v>
      </c>
      <c r="D45" s="1"/>
      <c r="E45" s="1"/>
      <c r="F45" s="1"/>
      <c r="L45" s="1"/>
      <c r="M45" s="1"/>
      <c r="N45" s="1"/>
      <c r="P45" s="9">
        <v>-2212</v>
      </c>
      <c r="Q45" s="9">
        <v>0</v>
      </c>
      <c r="R45" s="8">
        <f>P45+Q45</f>
        <v>-2212</v>
      </c>
      <c r="X45" s="8">
        <f t="shared" ref="X45" si="46">D45+H45+L45+P45+T45</f>
        <v>-2212</v>
      </c>
      <c r="Y45" s="8">
        <f t="shared" ref="Y45" si="47">E45+I45+M45+Q45+U45</f>
        <v>0</v>
      </c>
      <c r="Z45" s="8">
        <f t="shared" ref="Z45" si="48">X45+Y45</f>
        <v>-2212</v>
      </c>
    </row>
    <row r="46" spans="2:26" x14ac:dyDescent="0.25">
      <c r="B46" s="2" t="s">
        <v>458</v>
      </c>
      <c r="C46" s="6" t="s">
        <v>465</v>
      </c>
      <c r="D46" s="1"/>
      <c r="E46" s="1"/>
      <c r="F46" s="1"/>
      <c r="H46" s="9">
        <v>0</v>
      </c>
      <c r="I46" s="9">
        <v>0</v>
      </c>
      <c r="J46" s="8">
        <f>H46+I46</f>
        <v>0</v>
      </c>
      <c r="L46" s="1"/>
      <c r="M46" s="1"/>
      <c r="N46" s="1"/>
      <c r="Q46" s="1"/>
      <c r="R46" s="1"/>
      <c r="X46" s="8">
        <f t="shared" si="43"/>
        <v>0</v>
      </c>
      <c r="Y46" s="8">
        <f t="shared" si="44"/>
        <v>0</v>
      </c>
      <c r="Z46" s="8">
        <f t="shared" si="45"/>
        <v>0</v>
      </c>
    </row>
    <row r="47" spans="2:26" x14ac:dyDescent="0.25">
      <c r="B47" s="2" t="s">
        <v>461</v>
      </c>
      <c r="C47" s="6" t="s">
        <v>468</v>
      </c>
      <c r="D47" s="1"/>
      <c r="E47" s="1"/>
      <c r="F47" s="1"/>
      <c r="H47" s="9">
        <v>-14999.4</v>
      </c>
      <c r="I47" s="9">
        <v>0</v>
      </c>
      <c r="J47" s="8">
        <f>H47+I47</f>
        <v>-14999.4</v>
      </c>
      <c r="L47" s="1"/>
      <c r="M47" s="1"/>
      <c r="N47" s="1"/>
      <c r="Q47" s="1"/>
      <c r="R47" s="1"/>
      <c r="X47" s="8">
        <f t="shared" si="43"/>
        <v>-14999.4</v>
      </c>
      <c r="Y47" s="8">
        <f t="shared" si="44"/>
        <v>0</v>
      </c>
      <c r="Z47" s="8">
        <f t="shared" si="45"/>
        <v>-14999.4</v>
      </c>
    </row>
    <row r="48" spans="2:26" x14ac:dyDescent="0.25">
      <c r="B48" s="2" t="s">
        <v>462</v>
      </c>
      <c r="C48" s="6" t="s">
        <v>470</v>
      </c>
      <c r="D48" s="9">
        <f>-200000+101401.05</f>
        <v>-98598.95</v>
      </c>
      <c r="E48" s="9">
        <v>0</v>
      </c>
      <c r="F48" s="8">
        <f>D48+E48</f>
        <v>-98598.95</v>
      </c>
      <c r="L48" s="1"/>
      <c r="M48" s="1"/>
      <c r="N48" s="1"/>
      <c r="Q48" s="1"/>
      <c r="R48" s="1"/>
      <c r="X48" s="8">
        <f t="shared" ref="X48" si="49">D48+H48+L48+P48+T48</f>
        <v>-98598.95</v>
      </c>
      <c r="Y48" s="8">
        <f t="shared" ref="Y48" si="50">E48+I48+M48+Q48+U48</f>
        <v>0</v>
      </c>
      <c r="Z48" s="8">
        <f t="shared" ref="Z48" si="51">X48+Y48</f>
        <v>-98598.95</v>
      </c>
    </row>
    <row r="49" spans="2:26" x14ac:dyDescent="0.25">
      <c r="B49" s="2" t="s">
        <v>789</v>
      </c>
      <c r="C49" s="6" t="s">
        <v>629</v>
      </c>
      <c r="D49" s="1"/>
      <c r="E49" s="1"/>
      <c r="F49" s="1"/>
      <c r="H49" s="9">
        <v>-54348.65</v>
      </c>
      <c r="I49" s="9">
        <v>0</v>
      </c>
      <c r="J49" s="8">
        <f>H49+I49</f>
        <v>-54348.65</v>
      </c>
      <c r="L49" s="1"/>
      <c r="M49" s="1"/>
      <c r="N49" s="1"/>
      <c r="Q49" s="1"/>
      <c r="R49" s="1"/>
      <c r="X49" s="8">
        <f t="shared" si="43"/>
        <v>-54348.65</v>
      </c>
      <c r="Y49" s="8">
        <f t="shared" si="44"/>
        <v>0</v>
      </c>
      <c r="Z49" s="8">
        <f t="shared" si="45"/>
        <v>-54348.65</v>
      </c>
    </row>
    <row r="50" spans="2:26" x14ac:dyDescent="0.25">
      <c r="B50" s="2" t="s">
        <v>631</v>
      </c>
      <c r="C50" s="6" t="s">
        <v>630</v>
      </c>
      <c r="D50" s="1"/>
      <c r="E50" s="1"/>
      <c r="F50" s="1"/>
      <c r="L50" s="1"/>
      <c r="M50" s="1"/>
      <c r="N50" s="1"/>
      <c r="P50" s="9">
        <v>-2145</v>
      </c>
      <c r="Q50" s="9">
        <v>0</v>
      </c>
      <c r="R50" s="8">
        <f>P50+Q50</f>
        <v>-2145</v>
      </c>
      <c r="X50" s="8">
        <f t="shared" ref="X50" si="52">D50+H50+L50+P50+T50</f>
        <v>-2145</v>
      </c>
      <c r="Y50" s="8">
        <f t="shared" ref="Y50" si="53">E50+I50+M50+Q50+U50</f>
        <v>0</v>
      </c>
      <c r="Z50" s="8">
        <f t="shared" ref="Z50" si="54">X50+Y50</f>
        <v>-2145</v>
      </c>
    </row>
    <row r="51" spans="2:26" x14ac:dyDescent="0.25">
      <c r="B51" s="2" t="s">
        <v>632</v>
      </c>
      <c r="C51" s="6" t="s">
        <v>633</v>
      </c>
      <c r="D51" s="1"/>
      <c r="E51" s="1"/>
      <c r="F51" s="1"/>
      <c r="L51" s="1"/>
      <c r="M51" s="1"/>
      <c r="N51" s="1"/>
      <c r="P51" s="9">
        <v>-3950</v>
      </c>
      <c r="Q51" s="9">
        <v>0</v>
      </c>
      <c r="R51" s="8">
        <f>P51+Q51</f>
        <v>-3950</v>
      </c>
      <c r="X51" s="8">
        <f t="shared" ref="X51" si="55">D51+H51+L51+P51+T51</f>
        <v>-3950</v>
      </c>
      <c r="Y51" s="8">
        <f t="shared" ref="Y51" si="56">E51+I51+M51+Q51+U51</f>
        <v>0</v>
      </c>
      <c r="Z51" s="8">
        <f t="shared" ref="Z51" si="57">X51+Y51</f>
        <v>-3950</v>
      </c>
    </row>
    <row r="52" spans="2:26" x14ac:dyDescent="0.25">
      <c r="B52" s="2" t="s">
        <v>635</v>
      </c>
      <c r="C52" s="6" t="s">
        <v>634</v>
      </c>
      <c r="D52" s="9">
        <v>-10500.5</v>
      </c>
      <c r="E52" s="9">
        <v>0</v>
      </c>
      <c r="F52" s="8">
        <f>D52+E52</f>
        <v>-10500.5</v>
      </c>
      <c r="H52" s="1"/>
      <c r="I52" s="1"/>
      <c r="J52" s="1"/>
      <c r="L52" s="1"/>
      <c r="M52" s="1"/>
      <c r="N52" s="1"/>
      <c r="X52" s="8">
        <f t="shared" si="35"/>
        <v>-10500.5</v>
      </c>
      <c r="Y52" s="8">
        <f t="shared" si="35"/>
        <v>0</v>
      </c>
      <c r="Z52" s="8">
        <f t="shared" si="36"/>
        <v>-10500.5</v>
      </c>
    </row>
    <row r="53" spans="2:26" x14ac:dyDescent="0.25">
      <c r="B53" s="2" t="s">
        <v>512</v>
      </c>
      <c r="C53" s="6" t="s">
        <v>636</v>
      </c>
      <c r="H53" s="1"/>
      <c r="I53" s="1"/>
      <c r="J53" s="1"/>
      <c r="L53" s="9">
        <v>-2000</v>
      </c>
      <c r="M53" s="9">
        <v>0</v>
      </c>
      <c r="N53" s="8">
        <f>L53+M53</f>
        <v>-2000</v>
      </c>
      <c r="P53" s="9">
        <v>-28000</v>
      </c>
      <c r="Q53" s="9">
        <v>0</v>
      </c>
      <c r="R53" s="8">
        <f t="shared" ref="R53:R58" si="58">P53+Q53</f>
        <v>-28000</v>
      </c>
      <c r="X53" s="8">
        <f t="shared" ref="X53" si="59">D53+H53+L53+P53+T53</f>
        <v>-30000</v>
      </c>
      <c r="Y53" s="8">
        <f t="shared" ref="Y53" si="60">E53+I53+M53+Q53+U53</f>
        <v>0</v>
      </c>
      <c r="Z53" s="8">
        <f t="shared" ref="Z53" si="61">X53+Y53</f>
        <v>-30000</v>
      </c>
    </row>
    <row r="54" spans="2:26" x14ac:dyDescent="0.25">
      <c r="B54" s="2" t="s">
        <v>637</v>
      </c>
      <c r="C54" s="6" t="s">
        <v>638</v>
      </c>
      <c r="H54" s="1"/>
      <c r="I54" s="1"/>
      <c r="J54" s="1"/>
      <c r="P54" s="9">
        <v>-9349.67</v>
      </c>
      <c r="Q54" s="9">
        <v>0</v>
      </c>
      <c r="R54" s="8">
        <f t="shared" si="58"/>
        <v>-9349.67</v>
      </c>
      <c r="X54" s="8">
        <f t="shared" ref="X54" si="62">D54+H54+L54+P54+T54</f>
        <v>-9349.67</v>
      </c>
      <c r="Y54" s="8">
        <f t="shared" ref="Y54" si="63">E54+I54+M54+Q54+U54</f>
        <v>0</v>
      </c>
      <c r="Z54" s="8">
        <f t="shared" ref="Z54" si="64">X54+Y54</f>
        <v>-9349.67</v>
      </c>
    </row>
    <row r="55" spans="2:26" x14ac:dyDescent="0.25">
      <c r="B55" s="2" t="s">
        <v>641</v>
      </c>
      <c r="C55" s="6" t="s">
        <v>640</v>
      </c>
      <c r="H55" s="1"/>
      <c r="I55" s="1"/>
      <c r="J55" s="1"/>
      <c r="L55" s="9">
        <v>0</v>
      </c>
      <c r="M55" s="9">
        <v>0</v>
      </c>
      <c r="N55" s="8">
        <f>L55+M55</f>
        <v>0</v>
      </c>
      <c r="P55" s="9">
        <v>0</v>
      </c>
      <c r="Q55" s="9">
        <v>0</v>
      </c>
      <c r="R55" s="8">
        <f t="shared" si="58"/>
        <v>0</v>
      </c>
      <c r="X55" s="8">
        <f t="shared" ref="X55" si="65">D55+H55+L55+P55+T55</f>
        <v>0</v>
      </c>
      <c r="Y55" s="8">
        <f t="shared" ref="Y55" si="66">E55+I55+M55+Q55+U55</f>
        <v>0</v>
      </c>
      <c r="Z55" s="8">
        <f t="shared" ref="Z55" si="67">X55+Y55</f>
        <v>0</v>
      </c>
    </row>
    <row r="56" spans="2:26" x14ac:dyDescent="0.25">
      <c r="B56" s="2" t="s">
        <v>644</v>
      </c>
      <c r="C56" s="6" t="s">
        <v>643</v>
      </c>
      <c r="H56" s="1"/>
      <c r="I56" s="1"/>
      <c r="J56" s="1"/>
      <c r="P56" s="9">
        <v>-148868.64000000001</v>
      </c>
      <c r="Q56" s="9">
        <v>0</v>
      </c>
      <c r="R56" s="8">
        <f t="shared" si="58"/>
        <v>-148868.64000000001</v>
      </c>
      <c r="X56" s="8">
        <f t="shared" ref="X56" si="68">D56+H56+L56+P56+T56</f>
        <v>-148868.64000000001</v>
      </c>
      <c r="Y56" s="8">
        <f t="shared" ref="Y56" si="69">E56+I56+M56+Q56+U56</f>
        <v>0</v>
      </c>
      <c r="Z56" s="8">
        <f t="shared" ref="Z56" si="70">X56+Y56</f>
        <v>-148868.64000000001</v>
      </c>
    </row>
    <row r="57" spans="2:26" x14ac:dyDescent="0.25">
      <c r="B57" s="2" t="s">
        <v>890</v>
      </c>
      <c r="C57" s="6" t="s">
        <v>647</v>
      </c>
      <c r="D57" s="1"/>
      <c r="E57" s="1"/>
      <c r="F57" s="1"/>
      <c r="H57" s="1"/>
      <c r="I57" s="1"/>
      <c r="J57" s="1"/>
      <c r="L57" s="1"/>
      <c r="M57" s="1"/>
      <c r="N57" s="1"/>
      <c r="P57" s="9">
        <v>-8835</v>
      </c>
      <c r="Q57" s="9">
        <v>0</v>
      </c>
      <c r="R57" s="8">
        <f>P57+Q57</f>
        <v>-8835</v>
      </c>
      <c r="X57" s="8">
        <f t="shared" ref="X57" si="71">D57+H57+L57+P57+T57</f>
        <v>-8835</v>
      </c>
      <c r="Y57" s="8">
        <f t="shared" ref="Y57" si="72">E57+I57+M57+Q57+U57</f>
        <v>0</v>
      </c>
      <c r="Z57" s="8">
        <f t="shared" ref="Z57" si="73">X57+Y57</f>
        <v>-8835</v>
      </c>
    </row>
    <row r="58" spans="2:26" x14ac:dyDescent="0.25">
      <c r="B58" s="2" t="s">
        <v>848</v>
      </c>
      <c r="C58" s="6" t="s">
        <v>672</v>
      </c>
      <c r="D58" s="1"/>
      <c r="E58" s="1"/>
      <c r="F58" s="1"/>
      <c r="H58" s="1"/>
      <c r="I58" s="1"/>
      <c r="J58" s="1"/>
      <c r="L58" s="9">
        <v>-115000</v>
      </c>
      <c r="M58" s="9">
        <v>0</v>
      </c>
      <c r="N58" s="8">
        <f>L58+M58</f>
        <v>-115000</v>
      </c>
      <c r="P58" s="9">
        <v>-285000</v>
      </c>
      <c r="Q58" s="9">
        <v>0</v>
      </c>
      <c r="R58" s="8">
        <f t="shared" si="58"/>
        <v>-285000</v>
      </c>
      <c r="X58" s="8">
        <f t="shared" ref="X58:X64" si="74">D58+H58+L58+P58+T58</f>
        <v>-400000</v>
      </c>
      <c r="Y58" s="8">
        <f t="shared" ref="Y58:Y64" si="75">E58+I58+M58+Q58+U58</f>
        <v>0</v>
      </c>
      <c r="Z58" s="8">
        <f t="shared" ref="Z58:Z64" si="76">X58+Y58</f>
        <v>-400000</v>
      </c>
    </row>
    <row r="59" spans="2:26" x14ac:dyDescent="0.25">
      <c r="B59" s="2" t="s">
        <v>673</v>
      </c>
      <c r="C59" s="6" t="s">
        <v>674</v>
      </c>
      <c r="D59" s="1"/>
      <c r="E59" s="1"/>
      <c r="F59" s="1"/>
      <c r="H59" s="9">
        <v>-1800</v>
      </c>
      <c r="I59" s="9">
        <v>0</v>
      </c>
      <c r="J59" s="8">
        <f>H59+I59</f>
        <v>-1800</v>
      </c>
      <c r="L59" s="1"/>
      <c r="M59" s="1"/>
      <c r="N59" s="1"/>
      <c r="Q59" s="1"/>
      <c r="R59" s="1"/>
      <c r="X59" s="8">
        <f t="shared" si="74"/>
        <v>-1800</v>
      </c>
      <c r="Y59" s="8">
        <f t="shared" si="75"/>
        <v>0</v>
      </c>
      <c r="Z59" s="8">
        <f t="shared" si="76"/>
        <v>-1800</v>
      </c>
    </row>
    <row r="60" spans="2:26" x14ac:dyDescent="0.25">
      <c r="B60" s="2" t="s">
        <v>675</v>
      </c>
      <c r="C60" s="6" t="s">
        <v>676</v>
      </c>
      <c r="D60" s="1"/>
      <c r="E60" s="1"/>
      <c r="F60" s="1"/>
      <c r="L60" s="1"/>
      <c r="M60" s="1"/>
      <c r="N60" s="1"/>
      <c r="P60" s="9">
        <v>0</v>
      </c>
      <c r="Q60" s="9">
        <v>0</v>
      </c>
      <c r="R60" s="8">
        <f>P60+Q60</f>
        <v>0</v>
      </c>
      <c r="X60" s="8">
        <f t="shared" si="74"/>
        <v>0</v>
      </c>
      <c r="Y60" s="8">
        <f t="shared" si="75"/>
        <v>0</v>
      </c>
      <c r="Z60" s="8">
        <f t="shared" si="76"/>
        <v>0</v>
      </c>
    </row>
    <row r="61" spans="2:26" x14ac:dyDescent="0.25">
      <c r="B61" s="2" t="s">
        <v>677</v>
      </c>
      <c r="C61" s="6" t="s">
        <v>678</v>
      </c>
      <c r="D61" s="1"/>
      <c r="E61" s="1"/>
      <c r="F61" s="1"/>
      <c r="H61" s="9">
        <v>-62781</v>
      </c>
      <c r="I61" s="9">
        <v>0</v>
      </c>
      <c r="J61" s="8">
        <f>H61+I61</f>
        <v>-62781</v>
      </c>
      <c r="L61" s="1"/>
      <c r="M61" s="1"/>
      <c r="N61" s="1"/>
      <c r="Q61" s="1"/>
      <c r="R61" s="1"/>
      <c r="X61" s="8">
        <f t="shared" si="74"/>
        <v>-62781</v>
      </c>
      <c r="Y61" s="8">
        <f t="shared" si="75"/>
        <v>0</v>
      </c>
      <c r="Z61" s="8">
        <f t="shared" si="76"/>
        <v>-62781</v>
      </c>
    </row>
    <row r="62" spans="2:26" x14ac:dyDescent="0.25">
      <c r="B62" s="2" t="s">
        <v>850</v>
      </c>
      <c r="C62" s="6" t="s">
        <v>679</v>
      </c>
      <c r="D62" s="9">
        <v>-53543</v>
      </c>
      <c r="E62" s="9">
        <v>0</v>
      </c>
      <c r="F62" s="8">
        <f>D62+E62</f>
        <v>-53543</v>
      </c>
      <c r="H62" s="1"/>
      <c r="I62" s="1"/>
      <c r="J62" s="1"/>
      <c r="L62" s="1"/>
      <c r="M62" s="1"/>
      <c r="N62" s="1"/>
      <c r="Q62" s="1"/>
      <c r="R62" s="1"/>
      <c r="X62" s="8">
        <f t="shared" si="74"/>
        <v>-53543</v>
      </c>
      <c r="Y62" s="8">
        <f t="shared" si="75"/>
        <v>0</v>
      </c>
      <c r="Z62" s="8">
        <f t="shared" si="76"/>
        <v>-53543</v>
      </c>
    </row>
    <row r="63" spans="2:26" x14ac:dyDescent="0.25">
      <c r="B63" s="2" t="s">
        <v>680</v>
      </c>
      <c r="C63" s="6" t="s">
        <v>681</v>
      </c>
      <c r="D63" s="1"/>
      <c r="E63" s="1"/>
      <c r="F63" s="1"/>
      <c r="H63" s="1"/>
      <c r="I63" s="1"/>
      <c r="J63" s="1"/>
      <c r="L63" s="1"/>
      <c r="M63" s="1"/>
      <c r="N63" s="1"/>
      <c r="P63" s="9">
        <v>-27620.71</v>
      </c>
      <c r="Q63" s="9">
        <v>0</v>
      </c>
      <c r="R63" s="8">
        <f>P63+Q63</f>
        <v>-27620.71</v>
      </c>
      <c r="X63" s="8">
        <f t="shared" si="74"/>
        <v>-27620.71</v>
      </c>
      <c r="Y63" s="8">
        <f t="shared" si="75"/>
        <v>0</v>
      </c>
      <c r="Z63" s="8">
        <f t="shared" si="76"/>
        <v>-27620.71</v>
      </c>
    </row>
    <row r="64" spans="2:26" x14ac:dyDescent="0.25">
      <c r="B64" s="2" t="s">
        <v>682</v>
      </c>
      <c r="C64" s="6" t="s">
        <v>683</v>
      </c>
      <c r="D64" s="1"/>
      <c r="E64" s="1"/>
      <c r="F64" s="1"/>
      <c r="H64" s="1"/>
      <c r="I64" s="1"/>
      <c r="J64" s="1"/>
      <c r="L64" s="1"/>
      <c r="M64" s="1"/>
      <c r="N64" s="1"/>
      <c r="P64" s="9">
        <v>-137706.35999999999</v>
      </c>
      <c r="Q64" s="9">
        <v>0</v>
      </c>
      <c r="R64" s="8">
        <f>P64+Q64</f>
        <v>-137706.35999999999</v>
      </c>
      <c r="X64" s="8">
        <f t="shared" si="74"/>
        <v>-137706.35999999999</v>
      </c>
      <c r="Y64" s="8">
        <f t="shared" si="75"/>
        <v>0</v>
      </c>
      <c r="Z64" s="8">
        <f t="shared" si="76"/>
        <v>-137706.35999999999</v>
      </c>
    </row>
    <row r="65" spans="2:26" ht="15.75" thickBot="1" x14ac:dyDescent="0.3">
      <c r="B65" s="2" t="s">
        <v>888</v>
      </c>
      <c r="C65" s="6" t="s">
        <v>685</v>
      </c>
      <c r="D65" s="1"/>
      <c r="E65" s="1"/>
      <c r="F65" s="1"/>
      <c r="H65" s="1"/>
      <c r="I65" s="1"/>
      <c r="J65" s="1"/>
      <c r="L65" s="8">
        <v>-66000</v>
      </c>
      <c r="M65" s="9">
        <v>0</v>
      </c>
      <c r="N65" s="8">
        <f>L65+M65</f>
        <v>-66000</v>
      </c>
      <c r="P65" s="28">
        <f>-814000+20000</f>
        <v>-794000</v>
      </c>
      <c r="Q65" s="28">
        <v>0</v>
      </c>
      <c r="R65" s="8">
        <f>P65+Q65</f>
        <v>-794000</v>
      </c>
      <c r="X65" s="8">
        <f t="shared" ref="X65" si="77">D65+H65+L65+P65+T65</f>
        <v>-860000</v>
      </c>
      <c r="Y65" s="8">
        <f t="shared" ref="Y65" si="78">E65+I65+M65+Q65+U65</f>
        <v>0</v>
      </c>
      <c r="Z65" s="8">
        <f t="shared" ref="Z65" si="79">X65+Y65</f>
        <v>-860000</v>
      </c>
    </row>
    <row r="66" spans="2:26" x14ac:dyDescent="0.25">
      <c r="B66" s="2" t="s">
        <v>31</v>
      </c>
      <c r="C66" s="2"/>
      <c r="D66" s="26">
        <f>SUM(D40:D65)</f>
        <v>-162642.45000000001</v>
      </c>
      <c r="E66" s="26">
        <f>SUM(E40:E65)</f>
        <v>0</v>
      </c>
      <c r="F66" s="26">
        <f>D66+E66</f>
        <v>-162642.45000000001</v>
      </c>
      <c r="H66" s="26">
        <f>SUM(H40:H65)</f>
        <v>-133929.04999999999</v>
      </c>
      <c r="I66" s="26">
        <f>SUM(I40:I65)</f>
        <v>0</v>
      </c>
      <c r="J66" s="26">
        <f>H66+I66</f>
        <v>-133929.04999999999</v>
      </c>
      <c r="L66" s="26">
        <f>SUM(L40:L65)</f>
        <v>-183000</v>
      </c>
      <c r="M66" s="26">
        <f>SUM(M40:M65)</f>
        <v>0</v>
      </c>
      <c r="N66" s="26">
        <f>L66+M66</f>
        <v>-183000</v>
      </c>
      <c r="P66" s="26">
        <f>SUM(P40:P65)</f>
        <v>-1447687.38</v>
      </c>
      <c r="Q66" s="26">
        <f>SUM(Q40:Q65)</f>
        <v>0</v>
      </c>
      <c r="R66" s="26">
        <f>P66+Q66</f>
        <v>-1447687.38</v>
      </c>
      <c r="S66" s="1"/>
      <c r="T66" s="26">
        <f>SUM(T40:T65)</f>
        <v>-20500</v>
      </c>
      <c r="U66" s="26">
        <f>SUM(U40:U65)</f>
        <v>0</v>
      </c>
      <c r="V66" s="26">
        <f>T66+U66</f>
        <v>-20500</v>
      </c>
      <c r="X66" s="26">
        <f>SUM(X40:X65)</f>
        <v>-1947758.88</v>
      </c>
      <c r="Y66" s="26">
        <f>SUM(Y40:Y65)</f>
        <v>0</v>
      </c>
      <c r="Z66" s="26">
        <f>X66+Y66</f>
        <v>-1947758.88</v>
      </c>
    </row>
    <row r="67" spans="2:26" x14ac:dyDescent="0.25">
      <c r="D67" s="1"/>
      <c r="E67" s="1"/>
      <c r="F67" s="1"/>
      <c r="H67" s="1"/>
      <c r="I67" s="1"/>
      <c r="J67" s="1"/>
      <c r="L67" s="1"/>
      <c r="M67" s="1"/>
      <c r="N67" s="1"/>
      <c r="P67" s="1"/>
      <c r="Q67" s="1"/>
      <c r="R67" s="1"/>
      <c r="U67" s="1"/>
      <c r="V67" s="1"/>
      <c r="X67" s="1"/>
    </row>
    <row r="68" spans="2:26" x14ac:dyDescent="0.25">
      <c r="B68" s="5" t="s">
        <v>10</v>
      </c>
      <c r="C68" s="5"/>
      <c r="D68" s="1"/>
      <c r="E68" s="1"/>
      <c r="F68" s="1"/>
      <c r="L68" s="1"/>
      <c r="N68" s="1"/>
    </row>
    <row r="69" spans="2:26" x14ac:dyDescent="0.25">
      <c r="B69" s="2" t="s">
        <v>7</v>
      </c>
      <c r="C69" s="2"/>
      <c r="T69" s="9">
        <v>0</v>
      </c>
      <c r="U69" s="8">
        <f>-T69</f>
        <v>0</v>
      </c>
      <c r="V69" s="8">
        <f>T69+U69</f>
        <v>0</v>
      </c>
      <c r="X69" s="8">
        <f t="shared" ref="X69:Y69" si="80">D69+H69+L69+P69+T69</f>
        <v>0</v>
      </c>
      <c r="Y69" s="8">
        <f t="shared" si="80"/>
        <v>0</v>
      </c>
      <c r="Z69" s="8">
        <f>X69+Y69</f>
        <v>0</v>
      </c>
    </row>
    <row r="70" spans="2:26" x14ac:dyDescent="0.25">
      <c r="B70" s="2" t="s">
        <v>52</v>
      </c>
      <c r="C70" s="2"/>
      <c r="T70" s="9">
        <v>0</v>
      </c>
      <c r="U70" s="8">
        <f>-T70</f>
        <v>0</v>
      </c>
      <c r="V70" s="8">
        <f>T70+U70</f>
        <v>0</v>
      </c>
      <c r="X70" s="8">
        <f t="shared" ref="X70" si="81">D70+H70+L70+P70+T70</f>
        <v>0</v>
      </c>
      <c r="Y70" s="8">
        <f t="shared" ref="Y70" si="82">E70+I70+M70+Q70+U70</f>
        <v>0</v>
      </c>
      <c r="Z70" s="8">
        <f>X70+Y70</f>
        <v>0</v>
      </c>
    </row>
    <row r="71" spans="2:26" x14ac:dyDescent="0.25">
      <c r="B71" s="2" t="s">
        <v>461</v>
      </c>
      <c r="C71" s="6" t="s">
        <v>468</v>
      </c>
      <c r="H71" s="9">
        <v>-0.6</v>
      </c>
      <c r="I71" s="8">
        <f>-H71</f>
        <v>0.6</v>
      </c>
      <c r="J71" s="8">
        <f>H71+I71</f>
        <v>0</v>
      </c>
      <c r="X71" s="8">
        <f t="shared" ref="X71:X73" si="83">D71+H71+L71+P71+T71</f>
        <v>-0.6</v>
      </c>
      <c r="Y71" s="8">
        <f t="shared" ref="Y71:Y73" si="84">E71+I71+M71+Q71+U71</f>
        <v>0.6</v>
      </c>
      <c r="Z71" s="8">
        <f t="shared" ref="Z71:Z73" si="85">X71+Y71</f>
        <v>0</v>
      </c>
    </row>
    <row r="72" spans="2:26" x14ac:dyDescent="0.25">
      <c r="B72" s="2" t="s">
        <v>462</v>
      </c>
      <c r="C72" s="6" t="s">
        <v>470</v>
      </c>
      <c r="D72" s="9">
        <v>-101401.05</v>
      </c>
      <c r="E72" s="8">
        <f>-D72</f>
        <v>101401.05</v>
      </c>
      <c r="F72" s="8">
        <f>D72+E72</f>
        <v>0</v>
      </c>
      <c r="X72" s="8">
        <f t="shared" si="83"/>
        <v>-101401.05</v>
      </c>
      <c r="Y72" s="8">
        <f t="shared" si="84"/>
        <v>101401.05</v>
      </c>
      <c r="Z72" s="8">
        <f t="shared" si="85"/>
        <v>0</v>
      </c>
    </row>
    <row r="73" spans="2:26" x14ac:dyDescent="0.25">
      <c r="B73" s="2" t="s">
        <v>677</v>
      </c>
      <c r="C73" s="6" t="s">
        <v>678</v>
      </c>
      <c r="H73" s="9">
        <f>-92219+75000</f>
        <v>-17219</v>
      </c>
      <c r="I73" s="8">
        <f>-H73</f>
        <v>17219</v>
      </c>
      <c r="J73" s="8">
        <f>H73+I73</f>
        <v>0</v>
      </c>
      <c r="X73" s="8">
        <f t="shared" si="83"/>
        <v>-17219</v>
      </c>
      <c r="Y73" s="8">
        <f t="shared" si="84"/>
        <v>17219</v>
      </c>
      <c r="Z73" s="8">
        <f t="shared" si="85"/>
        <v>0</v>
      </c>
    </row>
    <row r="74" spans="2:26" ht="15.75" thickBot="1" x14ac:dyDescent="0.3">
      <c r="B74" s="2" t="s">
        <v>753</v>
      </c>
      <c r="C74" s="6" t="s">
        <v>752</v>
      </c>
      <c r="H74" s="9">
        <v>-75000</v>
      </c>
      <c r="I74" s="8">
        <f>-H74</f>
        <v>75000</v>
      </c>
      <c r="J74" s="8">
        <f>H74+I74</f>
        <v>0</v>
      </c>
      <c r="P74" s="9">
        <v>-175000</v>
      </c>
      <c r="Q74" s="8">
        <f>-P74</f>
        <v>175000</v>
      </c>
      <c r="R74" s="8">
        <f>P74+Q74</f>
        <v>0</v>
      </c>
      <c r="T74" s="9">
        <v>0</v>
      </c>
      <c r="U74" s="8">
        <f>-T74</f>
        <v>0</v>
      </c>
      <c r="V74" s="8">
        <f>T74+U74</f>
        <v>0</v>
      </c>
      <c r="X74" s="8">
        <f t="shared" ref="X74" si="86">D74+H74+L74+P74+T74</f>
        <v>-250000</v>
      </c>
      <c r="Y74" s="8">
        <f t="shared" ref="Y74" si="87">E74+I74+M74+Q74+U74</f>
        <v>250000</v>
      </c>
      <c r="Z74" s="8">
        <f>X74+Y74</f>
        <v>0</v>
      </c>
    </row>
    <row r="75" spans="2:26" x14ac:dyDescent="0.25">
      <c r="B75" s="2" t="s">
        <v>39</v>
      </c>
      <c r="C75" s="2"/>
      <c r="D75" s="26">
        <f>SUM(D69:D74)</f>
        <v>-101401.05</v>
      </c>
      <c r="E75" s="26">
        <f>SUM(E69:E74)</f>
        <v>101401.05</v>
      </c>
      <c r="F75" s="26">
        <f>D75+E75</f>
        <v>0</v>
      </c>
      <c r="H75" s="26">
        <f>SUM(H69:H74)</f>
        <v>-92219.6</v>
      </c>
      <c r="I75" s="26">
        <f>SUM(I69:I74)</f>
        <v>92219.6</v>
      </c>
      <c r="J75" s="26">
        <f>H75+I75</f>
        <v>0</v>
      </c>
      <c r="L75" s="26">
        <f>SUM(L69:L74)</f>
        <v>0</v>
      </c>
      <c r="M75" s="26">
        <f>SUM(M69:M74)</f>
        <v>0</v>
      </c>
      <c r="N75" s="26">
        <f>L75+M75</f>
        <v>0</v>
      </c>
      <c r="P75" s="26">
        <f>SUM(P69:P74)</f>
        <v>-175000</v>
      </c>
      <c r="Q75" s="26">
        <f>SUM(Q69:Q74)</f>
        <v>175000</v>
      </c>
      <c r="R75" s="26">
        <f>P75+Q75</f>
        <v>0</v>
      </c>
      <c r="S75" s="1"/>
      <c r="T75" s="26">
        <f>SUM(T69:T74)</f>
        <v>0</v>
      </c>
      <c r="U75" s="26">
        <f>SUM(U69:U74)</f>
        <v>0</v>
      </c>
      <c r="V75" s="26">
        <f>SUM(V69:V74)</f>
        <v>0</v>
      </c>
      <c r="X75" s="26">
        <f>SUM(X69:X72)</f>
        <v>-101401.65000000001</v>
      </c>
      <c r="Y75" s="26">
        <f>SUM(Y69:Y72)</f>
        <v>101401.65000000001</v>
      </c>
      <c r="Z75" s="26">
        <f>X75+Y75</f>
        <v>0</v>
      </c>
    </row>
    <row r="76" spans="2:26" x14ac:dyDescent="0.25">
      <c r="L76" s="1"/>
      <c r="M76" s="1"/>
      <c r="N76" s="1"/>
      <c r="P76" s="1"/>
      <c r="Q76" s="1"/>
      <c r="R76" s="1"/>
    </row>
    <row r="77" spans="2:26" x14ac:dyDescent="0.25">
      <c r="B77" s="2" t="s">
        <v>661</v>
      </c>
      <c r="D77" s="8">
        <f>D7+D15+D28+D33+D37+D66+D75</f>
        <v>55399.499999999985</v>
      </c>
      <c r="E77" s="8">
        <f>E7+E15+E28+E33+E37+E66+E75</f>
        <v>641956.40000000014</v>
      </c>
      <c r="F77" s="8">
        <f>D77+E77</f>
        <v>697355.90000000014</v>
      </c>
      <c r="H77" s="8">
        <f>H7+H15+H28+H33+H37+H66+H75</f>
        <v>84391.370000000024</v>
      </c>
      <c r="I77" s="8">
        <f>I7+I15+I28+I33+I37+I66+I75</f>
        <v>208633.83</v>
      </c>
      <c r="J77" s="8">
        <f>H77+I77</f>
        <v>293025.2</v>
      </c>
      <c r="L77" s="8">
        <f>L7+L15+L28+L33+L37+L66+L75</f>
        <v>30232</v>
      </c>
      <c r="M77" s="8">
        <f>M7+M15+M28+M33+M37+M66+M75</f>
        <v>15698.580000000016</v>
      </c>
      <c r="N77" s="8">
        <f>L77+M77</f>
        <v>45930.580000000016</v>
      </c>
      <c r="P77" s="8">
        <f>P7+P15+P28+P33+P37+P66+P75</f>
        <v>311082.07000000007</v>
      </c>
      <c r="Q77" s="8">
        <f>Q7+Q15+Q28+Q33+Q37+Q66+Q75</f>
        <v>130254.30999999982</v>
      </c>
      <c r="R77" s="8">
        <f>P77+Q77</f>
        <v>441336.37999999989</v>
      </c>
      <c r="T77" s="8">
        <f>T7+T15+T28+T33+T37+T66+T75</f>
        <v>0</v>
      </c>
      <c r="U77" s="8">
        <f>U7+U15+U28+U33+U37+U66+U75</f>
        <v>0</v>
      </c>
      <c r="V77" s="8">
        <f>T77+U77</f>
        <v>0</v>
      </c>
      <c r="X77" s="8">
        <f>D77+H77+L77+P77+T77</f>
        <v>481104.94000000006</v>
      </c>
      <c r="Y77" s="8">
        <f>E77+I77+M77+Q77+U77</f>
        <v>996543.11999999988</v>
      </c>
      <c r="Z77" s="8">
        <f>X77+Y77</f>
        <v>1477648.06</v>
      </c>
    </row>
    <row r="79" spans="2:26" x14ac:dyDescent="0.25">
      <c r="B79" s="5" t="s">
        <v>662</v>
      </c>
      <c r="C79" s="5"/>
      <c r="L79" s="1"/>
      <c r="M79" s="1"/>
      <c r="N79" s="1"/>
      <c r="P79" s="1"/>
    </row>
    <row r="80" spans="2:26" x14ac:dyDescent="0.25">
      <c r="B80" s="2" t="s">
        <v>244</v>
      </c>
      <c r="C80" s="2"/>
      <c r="D80" s="9">
        <v>0</v>
      </c>
      <c r="E80" s="14">
        <v>0</v>
      </c>
      <c r="F80" s="8">
        <f>D80+E80</f>
        <v>0</v>
      </c>
      <c r="H80" s="9">
        <v>0</v>
      </c>
      <c r="I80" s="9">
        <v>0</v>
      </c>
      <c r="J80" s="12">
        <f>H80+I80</f>
        <v>0</v>
      </c>
      <c r="L80" s="9">
        <v>0</v>
      </c>
      <c r="M80" s="9">
        <v>0</v>
      </c>
      <c r="N80" s="8">
        <f>L80+M80</f>
        <v>0</v>
      </c>
      <c r="P80" s="9">
        <v>0</v>
      </c>
      <c r="Q80" s="9">
        <v>0</v>
      </c>
      <c r="R80" s="8">
        <f>P80+Q80</f>
        <v>0</v>
      </c>
      <c r="T80" s="9">
        <v>0</v>
      </c>
      <c r="U80" s="9">
        <v>0</v>
      </c>
      <c r="V80" s="8">
        <f>T80+U80</f>
        <v>0</v>
      </c>
      <c r="X80" s="8">
        <f t="shared" ref="X80:Y82" si="88">D80+H80+L80+P80+T80</f>
        <v>0</v>
      </c>
      <c r="Y80" s="8">
        <f t="shared" si="88"/>
        <v>0</v>
      </c>
      <c r="Z80" s="8">
        <f>X80+Y80</f>
        <v>0</v>
      </c>
    </row>
    <row r="81" spans="1:26" ht="15.75" thickBot="1" x14ac:dyDescent="0.3">
      <c r="B81" s="2" t="s">
        <v>757</v>
      </c>
      <c r="C81" s="6" t="s">
        <v>758</v>
      </c>
      <c r="D81" s="9">
        <f>-E109</f>
        <v>148866</v>
      </c>
      <c r="E81" s="8">
        <f>-D81</f>
        <v>-148866</v>
      </c>
      <c r="F81" s="8">
        <f>D81+E81</f>
        <v>0</v>
      </c>
      <c r="X81" s="8">
        <f t="shared" si="88"/>
        <v>148866</v>
      </c>
      <c r="Y81" s="8">
        <f t="shared" si="88"/>
        <v>-148866</v>
      </c>
      <c r="Z81" s="8">
        <f>X81+Y81</f>
        <v>0</v>
      </c>
    </row>
    <row r="82" spans="1:26" x14ac:dyDescent="0.25">
      <c r="B82" s="2" t="s">
        <v>663</v>
      </c>
      <c r="C82" s="2"/>
      <c r="D82" s="26">
        <f>SUM(D80:D81)</f>
        <v>148866</v>
      </c>
      <c r="E82" s="26">
        <f>SUM(E80:E81)</f>
        <v>-148866</v>
      </c>
      <c r="F82" s="26">
        <f>D82+E82</f>
        <v>0</v>
      </c>
      <c r="H82" s="26">
        <f>SUM(H80:H81)</f>
        <v>0</v>
      </c>
      <c r="I82" s="26">
        <f>SUM(I80:I81)</f>
        <v>0</v>
      </c>
      <c r="J82" s="26">
        <f>H82+I82</f>
        <v>0</v>
      </c>
      <c r="L82" s="26">
        <f>SUM(L80:L81)</f>
        <v>0</v>
      </c>
      <c r="M82" s="26">
        <f>SUM(M80:M81)</f>
        <v>0</v>
      </c>
      <c r="N82" s="26">
        <f>L82+M82</f>
        <v>0</v>
      </c>
      <c r="P82" s="26">
        <f>SUM(P80:P81)</f>
        <v>0</v>
      </c>
      <c r="Q82" s="26">
        <f>SUM(Q80:Q81)</f>
        <v>0</v>
      </c>
      <c r="R82" s="26">
        <f>P82+Q82</f>
        <v>0</v>
      </c>
      <c r="S82" s="1"/>
      <c r="T82" s="26">
        <f>SUM(T80:T81)</f>
        <v>0</v>
      </c>
      <c r="U82" s="26">
        <f>SUM(U80:U81)</f>
        <v>0</v>
      </c>
      <c r="V82" s="26">
        <f>T82+U82</f>
        <v>0</v>
      </c>
      <c r="X82" s="26">
        <f t="shared" si="88"/>
        <v>148866</v>
      </c>
      <c r="Y82" s="26">
        <f t="shared" si="88"/>
        <v>-148866</v>
      </c>
      <c r="Z82" s="26">
        <f>X82+Y82</f>
        <v>0</v>
      </c>
    </row>
    <row r="83" spans="1:26" x14ac:dyDescent="0.25">
      <c r="B83" s="2"/>
      <c r="C83" s="2"/>
    </row>
    <row r="84" spans="1:26" ht="15.75" thickBot="1" x14ac:dyDescent="0.3">
      <c r="B84" s="2" t="s">
        <v>664</v>
      </c>
      <c r="C84" s="2"/>
      <c r="D84" s="17">
        <f>ROUND(D77+D82,2)</f>
        <v>204265.5</v>
      </c>
      <c r="E84" s="17">
        <f>ROUND(E77+E82,2)</f>
        <v>493090.4</v>
      </c>
      <c r="F84" s="17">
        <f>D84+E84</f>
        <v>697355.9</v>
      </c>
      <c r="H84" s="17">
        <f>ROUND(H77+H82,2)</f>
        <v>84391.37</v>
      </c>
      <c r="I84" s="17">
        <f>ROUND(I77+I82,2)</f>
        <v>208633.83</v>
      </c>
      <c r="J84" s="17">
        <f>H84+I84</f>
        <v>293025.19999999995</v>
      </c>
      <c r="L84" s="17">
        <f>ROUND(L77+L82,2)</f>
        <v>30232</v>
      </c>
      <c r="M84" s="17">
        <f>ROUND(M77+M82,2)</f>
        <v>15698.58</v>
      </c>
      <c r="N84" s="17">
        <f>L84+M84</f>
        <v>45930.58</v>
      </c>
      <c r="P84" s="17">
        <f>ROUND(P77+P82,2)</f>
        <v>311082.07</v>
      </c>
      <c r="Q84" s="17">
        <f>ROUND(Q77+Q82,2)</f>
        <v>130254.31</v>
      </c>
      <c r="R84" s="17">
        <f>P84+Q84</f>
        <v>441336.38</v>
      </c>
      <c r="T84" s="17">
        <f>ROUND(T77+T82,2)</f>
        <v>0</v>
      </c>
      <c r="U84" s="17">
        <f>ROUND(U77+U82,2)</f>
        <v>0</v>
      </c>
      <c r="V84" s="17">
        <f>T84+U84</f>
        <v>0</v>
      </c>
      <c r="X84" s="17">
        <f>D84+H84+L84+P84+T84</f>
        <v>629970.93999999994</v>
      </c>
      <c r="Y84" s="17">
        <f>E84+I84+M84+Q84+U84</f>
        <v>847677.11999999988</v>
      </c>
      <c r="Z84" s="17">
        <f>X84+Y84</f>
        <v>1477648.0599999998</v>
      </c>
    </row>
    <row r="85" spans="1:26" ht="15.75" thickTop="1" x14ac:dyDescent="0.25">
      <c r="B85" s="2"/>
      <c r="C85" s="2"/>
    </row>
    <row r="86" spans="1:26" x14ac:dyDescent="0.25">
      <c r="B86" s="2"/>
      <c r="C86" s="2"/>
    </row>
    <row r="87" spans="1:26" x14ac:dyDescent="0.25">
      <c r="A87" t="s">
        <v>54</v>
      </c>
      <c r="C87" s="19"/>
    </row>
    <row r="89" spans="1:26" x14ac:dyDescent="0.25">
      <c r="B89" s="5" t="s">
        <v>665</v>
      </c>
      <c r="C89" s="5"/>
      <c r="T89" s="1"/>
    </row>
    <row r="90" spans="1:26" x14ac:dyDescent="0.25">
      <c r="B90" s="2" t="s">
        <v>710</v>
      </c>
      <c r="C90" s="2"/>
      <c r="D90" s="9">
        <v>0</v>
      </c>
      <c r="E90" s="9">
        <f>ROUND(850000/10,2)</f>
        <v>85000</v>
      </c>
      <c r="F90" s="8">
        <f>D90+E90</f>
        <v>85000</v>
      </c>
      <c r="H90" s="9">
        <v>0</v>
      </c>
      <c r="I90" s="9">
        <f>ROUND(850000/10,2)</f>
        <v>85000</v>
      </c>
      <c r="J90" s="8">
        <f>H90+I90</f>
        <v>85000</v>
      </c>
      <c r="L90" s="9">
        <v>0</v>
      </c>
      <c r="M90" s="9">
        <f>ROUND(850000/10,2)</f>
        <v>85000</v>
      </c>
      <c r="N90" s="8">
        <f>L90+M90</f>
        <v>85000</v>
      </c>
      <c r="P90" s="9">
        <v>0</v>
      </c>
      <c r="Q90" s="9">
        <f>850000-E90-I90-M90</f>
        <v>595000</v>
      </c>
      <c r="R90" s="8">
        <f>P90+Q90</f>
        <v>595000</v>
      </c>
      <c r="T90" s="1"/>
      <c r="U90" s="1"/>
      <c r="V90" s="1"/>
      <c r="X90" s="8">
        <f t="shared" ref="X90:Z93" si="89">D90+H90+L90+P90+T90</f>
        <v>0</v>
      </c>
      <c r="Y90" s="8">
        <f t="shared" si="89"/>
        <v>850000</v>
      </c>
      <c r="Z90" s="8">
        <f t="shared" si="89"/>
        <v>850000</v>
      </c>
    </row>
    <row r="91" spans="1:26" x14ac:dyDescent="0.25">
      <c r="B91" s="2" t="s">
        <v>666</v>
      </c>
      <c r="C91" s="2"/>
      <c r="D91" s="9">
        <v>0</v>
      </c>
      <c r="E91" s="9">
        <f>ROUND(850000*0.25/10,2)</f>
        <v>21250</v>
      </c>
      <c r="F91" s="8">
        <f>D91+E91</f>
        <v>21250</v>
      </c>
      <c r="H91" s="9">
        <v>0</v>
      </c>
      <c r="I91" s="9">
        <f>ROUND(850000*0.25/10,2)</f>
        <v>21250</v>
      </c>
      <c r="J91" s="8">
        <f>H91+I91</f>
        <v>21250</v>
      </c>
      <c r="L91" s="9">
        <v>0</v>
      </c>
      <c r="M91" s="9">
        <f>ROUND(850000*0.25/10,2)</f>
        <v>21250</v>
      </c>
      <c r="N91" s="8">
        <f>L91+M91</f>
        <v>21250</v>
      </c>
      <c r="P91" s="9">
        <v>0</v>
      </c>
      <c r="Q91" s="9">
        <f>850000*0.25-E91-I91-M91</f>
        <v>148750</v>
      </c>
      <c r="R91" s="8">
        <f>P91+Q91</f>
        <v>148750</v>
      </c>
      <c r="X91" s="8">
        <f t="shared" si="89"/>
        <v>0</v>
      </c>
      <c r="Y91" s="8">
        <f t="shared" si="89"/>
        <v>212500</v>
      </c>
      <c r="Z91" s="8">
        <f t="shared" si="89"/>
        <v>212500</v>
      </c>
    </row>
    <row r="92" spans="1:26" ht="15.75" thickBot="1" x14ac:dyDescent="0.3">
      <c r="B92" s="2" t="s">
        <v>667</v>
      </c>
      <c r="C92" s="2"/>
      <c r="D92" s="14">
        <v>0</v>
      </c>
      <c r="E92" s="14">
        <f>7410/10</f>
        <v>741</v>
      </c>
      <c r="F92" s="15">
        <f>D92+E92</f>
        <v>741</v>
      </c>
      <c r="H92" s="14">
        <v>0</v>
      </c>
      <c r="I92" s="14">
        <f>7410/10</f>
        <v>741</v>
      </c>
      <c r="J92" s="15">
        <f>H92+I92</f>
        <v>741</v>
      </c>
      <c r="L92" s="14">
        <v>0</v>
      </c>
      <c r="M92" s="14">
        <f>7410/10</f>
        <v>741</v>
      </c>
      <c r="N92" s="15">
        <f>L92+M92</f>
        <v>741</v>
      </c>
      <c r="P92" s="14">
        <v>0</v>
      </c>
      <c r="Q92" s="14">
        <f>7410-E92-I92-M92</f>
        <v>5187</v>
      </c>
      <c r="R92" s="15">
        <f>P92+Q92</f>
        <v>5187</v>
      </c>
      <c r="X92" s="15">
        <f t="shared" si="89"/>
        <v>0</v>
      </c>
      <c r="Y92" s="15">
        <f t="shared" si="89"/>
        <v>7410</v>
      </c>
      <c r="Z92" s="15">
        <f t="shared" si="89"/>
        <v>7410</v>
      </c>
    </row>
    <row r="93" spans="1:26" x14ac:dyDescent="0.25">
      <c r="B93" s="2" t="s">
        <v>668</v>
      </c>
      <c r="C93" s="2"/>
      <c r="D93" s="26">
        <f>SUM(D90:D92)</f>
        <v>0</v>
      </c>
      <c r="E93" s="26">
        <f>SUM(E90:E92)</f>
        <v>106991</v>
      </c>
      <c r="F93" s="26">
        <f>D93+E93</f>
        <v>106991</v>
      </c>
      <c r="H93" s="26">
        <f>SUM(H90:H92)</f>
        <v>0</v>
      </c>
      <c r="I93" s="26">
        <f>SUM(I90:I92)</f>
        <v>106991</v>
      </c>
      <c r="J93" s="26">
        <f>H93+I93</f>
        <v>106991</v>
      </c>
      <c r="L93" s="26">
        <f>SUM(L90:L92)</f>
        <v>0</v>
      </c>
      <c r="M93" s="26">
        <f>SUM(M90:M92)</f>
        <v>106991</v>
      </c>
      <c r="N93" s="26">
        <f>L93+M93</f>
        <v>106991</v>
      </c>
      <c r="P93" s="26">
        <f>SUM(P90:P92)</f>
        <v>0</v>
      </c>
      <c r="Q93" s="26">
        <f>SUM(Q90:Q92)</f>
        <v>748937</v>
      </c>
      <c r="R93" s="26">
        <f>P93+Q93</f>
        <v>748937</v>
      </c>
      <c r="S93" s="1"/>
      <c r="T93" s="26">
        <f>SUM(T90:T92)</f>
        <v>0</v>
      </c>
      <c r="U93" s="26">
        <f>SUM(U90:U92)</f>
        <v>0</v>
      </c>
      <c r="V93" s="26">
        <f>T93+U93</f>
        <v>0</v>
      </c>
      <c r="X93" s="26">
        <f t="shared" si="89"/>
        <v>0</v>
      </c>
      <c r="Y93" s="26">
        <f t="shared" si="89"/>
        <v>1069910</v>
      </c>
      <c r="Z93" s="26">
        <f t="shared" si="89"/>
        <v>1069910</v>
      </c>
    </row>
    <row r="94" spans="1:26" x14ac:dyDescent="0.25">
      <c r="B94" s="2"/>
      <c r="C94" s="2"/>
    </row>
    <row r="95" spans="1:26" x14ac:dyDescent="0.25">
      <c r="B95" s="5" t="s">
        <v>771</v>
      </c>
      <c r="C95" s="5"/>
      <c r="T95" s="1"/>
    </row>
    <row r="96" spans="1:26" x14ac:dyDescent="0.25">
      <c r="B96" s="2" t="s">
        <v>7</v>
      </c>
      <c r="C96" s="5"/>
      <c r="E96" s="1"/>
      <c r="F96" s="1"/>
      <c r="H96" s="1"/>
      <c r="I96" s="1"/>
      <c r="J96" s="1"/>
      <c r="L96" s="1"/>
      <c r="M96" s="1"/>
      <c r="N96" s="1"/>
      <c r="P96" s="8">
        <v>0</v>
      </c>
      <c r="Q96" s="8">
        <f>-T96</f>
        <v>-15000</v>
      </c>
      <c r="R96" s="8">
        <f>P96+Q96</f>
        <v>-15000</v>
      </c>
      <c r="T96" s="9">
        <v>15000</v>
      </c>
      <c r="U96" s="9">
        <v>0</v>
      </c>
      <c r="V96" s="8">
        <f>T96+U96</f>
        <v>15000</v>
      </c>
      <c r="X96" s="8">
        <f t="shared" ref="X96:Z106" si="90">D96+H96+L96+P96+T96</f>
        <v>15000</v>
      </c>
      <c r="Y96" s="8">
        <f t="shared" si="90"/>
        <v>-15000</v>
      </c>
      <c r="Z96" s="8">
        <f t="shared" si="90"/>
        <v>0</v>
      </c>
    </row>
    <row r="97" spans="2:26" x14ac:dyDescent="0.25">
      <c r="B97" s="2" t="s">
        <v>52</v>
      </c>
      <c r="C97" s="5"/>
      <c r="E97" s="1"/>
      <c r="F97" s="1"/>
      <c r="H97" s="1"/>
      <c r="I97" s="1"/>
      <c r="J97" s="1"/>
      <c r="M97" s="1"/>
      <c r="N97" s="1"/>
      <c r="P97" s="8">
        <v>0</v>
      </c>
      <c r="Q97" s="8">
        <f>-T97</f>
        <v>-5000</v>
      </c>
      <c r="R97" s="8">
        <f>P97+Q97</f>
        <v>-5000</v>
      </c>
      <c r="T97" s="9">
        <f>3500+1500</f>
        <v>5000</v>
      </c>
      <c r="U97" s="9">
        <v>0</v>
      </c>
      <c r="V97" s="8">
        <f>T97+U97</f>
        <v>5000</v>
      </c>
      <c r="X97" s="8">
        <f t="shared" si="90"/>
        <v>5000</v>
      </c>
      <c r="Y97" s="8">
        <f t="shared" si="90"/>
        <v>-5000</v>
      </c>
      <c r="Z97" s="8">
        <f t="shared" si="90"/>
        <v>0</v>
      </c>
    </row>
    <row r="98" spans="2:26" x14ac:dyDescent="0.25">
      <c r="B98" s="2" t="s">
        <v>757</v>
      </c>
      <c r="C98" s="6" t="s">
        <v>758</v>
      </c>
      <c r="D98" s="9">
        <v>200000</v>
      </c>
      <c r="E98" s="8">
        <f>-D98</f>
        <v>-200000</v>
      </c>
      <c r="F98" s="8">
        <f>D98+E98</f>
        <v>0</v>
      </c>
      <c r="H98" s="1"/>
      <c r="I98" s="1"/>
      <c r="J98" s="1"/>
      <c r="M98" s="1"/>
      <c r="N98" s="1"/>
      <c r="X98" s="8">
        <f t="shared" si="90"/>
        <v>200000</v>
      </c>
      <c r="Y98" s="8">
        <f t="shared" si="90"/>
        <v>-200000</v>
      </c>
      <c r="Z98" s="8">
        <f t="shared" si="90"/>
        <v>0</v>
      </c>
    </row>
    <row r="99" spans="2:26" x14ac:dyDescent="0.25">
      <c r="B99" s="2" t="s">
        <v>891</v>
      </c>
      <c r="C99" s="6" t="s">
        <v>647</v>
      </c>
      <c r="E99" s="1"/>
      <c r="F99" s="1"/>
      <c r="H99" s="1"/>
      <c r="I99" s="1"/>
      <c r="J99" s="1"/>
      <c r="P99" s="9">
        <v>55000</v>
      </c>
      <c r="Q99" s="8">
        <f t="shared" ref="Q99:Q104" si="91">-P99</f>
        <v>-55000</v>
      </c>
      <c r="R99" s="8">
        <f t="shared" ref="R99:R104" si="92">P99+Q99</f>
        <v>0</v>
      </c>
      <c r="X99" s="8">
        <f t="shared" si="90"/>
        <v>55000</v>
      </c>
      <c r="Y99" s="8">
        <f t="shared" si="90"/>
        <v>-55000</v>
      </c>
      <c r="Z99" s="8">
        <f t="shared" si="90"/>
        <v>0</v>
      </c>
    </row>
    <row r="100" spans="2:26" x14ac:dyDescent="0.25">
      <c r="B100" s="2" t="s">
        <v>684</v>
      </c>
      <c r="C100" s="6" t="s">
        <v>685</v>
      </c>
      <c r="E100" s="1"/>
      <c r="F100" s="1"/>
      <c r="H100" s="1"/>
      <c r="I100" s="1"/>
      <c r="J100" s="1"/>
      <c r="P100" s="9">
        <v>0</v>
      </c>
      <c r="Q100" s="8">
        <f t="shared" si="91"/>
        <v>0</v>
      </c>
      <c r="R100" s="8">
        <f t="shared" si="92"/>
        <v>0</v>
      </c>
      <c r="X100" s="8">
        <f t="shared" si="90"/>
        <v>0</v>
      </c>
      <c r="Y100" s="8">
        <f t="shared" si="90"/>
        <v>0</v>
      </c>
      <c r="Z100" s="8">
        <f t="shared" si="90"/>
        <v>0</v>
      </c>
    </row>
    <row r="101" spans="2:26" x14ac:dyDescent="0.25">
      <c r="B101" s="2" t="s">
        <v>761</v>
      </c>
      <c r="C101" s="6" t="s">
        <v>762</v>
      </c>
      <c r="E101" s="1"/>
      <c r="F101" s="1"/>
      <c r="H101" s="1"/>
      <c r="I101" s="1"/>
      <c r="J101" s="1"/>
      <c r="P101" s="9">
        <v>4000</v>
      </c>
      <c r="Q101" s="8">
        <f t="shared" si="91"/>
        <v>-4000</v>
      </c>
      <c r="R101" s="8">
        <f t="shared" si="92"/>
        <v>0</v>
      </c>
      <c r="X101" s="8">
        <f t="shared" si="90"/>
        <v>4000</v>
      </c>
      <c r="Y101" s="8">
        <f t="shared" si="90"/>
        <v>-4000</v>
      </c>
      <c r="Z101" s="8">
        <f t="shared" si="90"/>
        <v>0</v>
      </c>
    </row>
    <row r="102" spans="2:26" x14ac:dyDescent="0.25">
      <c r="B102" s="2" t="s">
        <v>759</v>
      </c>
      <c r="C102" s="6" t="s">
        <v>760</v>
      </c>
      <c r="H102" s="1"/>
      <c r="I102" s="1"/>
      <c r="J102" s="1"/>
      <c r="L102" s="9">
        <v>105000</v>
      </c>
      <c r="M102" s="8">
        <f>-L102</f>
        <v>-105000</v>
      </c>
      <c r="N102" s="8">
        <f>L102+M102</f>
        <v>0</v>
      </c>
      <c r="P102" s="9">
        <v>295000</v>
      </c>
      <c r="Q102" s="8">
        <f t="shared" si="91"/>
        <v>-295000</v>
      </c>
      <c r="R102" s="8">
        <f t="shared" si="92"/>
        <v>0</v>
      </c>
      <c r="X102" s="8">
        <f t="shared" si="90"/>
        <v>400000</v>
      </c>
      <c r="Y102" s="8">
        <f t="shared" si="90"/>
        <v>-400000</v>
      </c>
      <c r="Z102" s="8">
        <f t="shared" si="90"/>
        <v>0</v>
      </c>
    </row>
    <row r="103" spans="2:26" x14ac:dyDescent="0.25">
      <c r="B103" s="2" t="s">
        <v>763</v>
      </c>
      <c r="C103" s="6" t="s">
        <v>764</v>
      </c>
      <c r="H103" s="1"/>
      <c r="I103" s="1"/>
      <c r="J103" s="1"/>
      <c r="P103" s="9">
        <v>80000</v>
      </c>
      <c r="Q103" s="8">
        <f t="shared" si="91"/>
        <v>-80000</v>
      </c>
      <c r="R103" s="8">
        <f t="shared" si="92"/>
        <v>0</v>
      </c>
      <c r="X103" s="8">
        <f t="shared" si="90"/>
        <v>80000</v>
      </c>
      <c r="Y103" s="8">
        <f t="shared" si="90"/>
        <v>-80000</v>
      </c>
      <c r="Z103" s="8">
        <f t="shared" si="90"/>
        <v>0</v>
      </c>
    </row>
    <row r="104" spans="2:26" x14ac:dyDescent="0.25">
      <c r="B104" s="2" t="s">
        <v>765</v>
      </c>
      <c r="C104" s="6" t="s">
        <v>766</v>
      </c>
      <c r="H104" s="1"/>
      <c r="I104" s="1"/>
      <c r="J104" s="1"/>
      <c r="P104" s="9">
        <v>90000</v>
      </c>
      <c r="Q104" s="8">
        <f t="shared" si="91"/>
        <v>-90000</v>
      </c>
      <c r="R104" s="8">
        <f t="shared" si="92"/>
        <v>0</v>
      </c>
      <c r="X104" s="8">
        <f t="shared" si="90"/>
        <v>90000</v>
      </c>
      <c r="Y104" s="8">
        <f t="shared" si="90"/>
        <v>-90000</v>
      </c>
      <c r="Z104" s="8">
        <f t="shared" si="90"/>
        <v>0</v>
      </c>
    </row>
    <row r="105" spans="2:26" x14ac:dyDescent="0.25">
      <c r="B105" s="2" t="s">
        <v>768</v>
      </c>
      <c r="C105" s="6" t="s">
        <v>767</v>
      </c>
      <c r="D105" s="9">
        <v>55857</v>
      </c>
      <c r="E105" s="8">
        <f>-D105</f>
        <v>-55857</v>
      </c>
      <c r="F105" s="8">
        <f>D105+E105</f>
        <v>0</v>
      </c>
      <c r="H105" s="1"/>
      <c r="I105" s="1"/>
      <c r="J105" s="1"/>
      <c r="X105" s="8">
        <f t="shared" si="90"/>
        <v>55857</v>
      </c>
      <c r="Y105" s="8">
        <f t="shared" si="90"/>
        <v>-55857</v>
      </c>
      <c r="Z105" s="8">
        <f t="shared" si="90"/>
        <v>0</v>
      </c>
    </row>
    <row r="106" spans="2:26" ht="15.75" thickBot="1" x14ac:dyDescent="0.3">
      <c r="B106" s="2" t="s">
        <v>769</v>
      </c>
      <c r="C106" s="6" t="s">
        <v>770</v>
      </c>
      <c r="H106" s="1"/>
      <c r="I106" s="1"/>
      <c r="J106" s="1"/>
      <c r="P106" s="9">
        <v>90000</v>
      </c>
      <c r="Q106" s="8">
        <f>-P106</f>
        <v>-90000</v>
      </c>
      <c r="R106" s="8">
        <f>P106+Q106</f>
        <v>0</v>
      </c>
      <c r="X106" s="8">
        <f t="shared" si="90"/>
        <v>90000</v>
      </c>
      <c r="Y106" s="8">
        <f t="shared" si="90"/>
        <v>-90000</v>
      </c>
      <c r="Z106" s="8">
        <f t="shared" si="90"/>
        <v>0</v>
      </c>
    </row>
    <row r="107" spans="2:26" x14ac:dyDescent="0.25">
      <c r="B107" s="2" t="s">
        <v>669</v>
      </c>
      <c r="C107" s="2"/>
      <c r="D107" s="26">
        <f>SUM(D96:D106)</f>
        <v>255857</v>
      </c>
      <c r="E107" s="26">
        <f>SUM(E96:E106)</f>
        <v>-255857</v>
      </c>
      <c r="F107" s="26">
        <f>D107+E107</f>
        <v>0</v>
      </c>
      <c r="H107" s="26">
        <f>SUM(H96:H106)</f>
        <v>0</v>
      </c>
      <c r="I107" s="26">
        <f>SUM(I96:I106)</f>
        <v>0</v>
      </c>
      <c r="J107" s="26">
        <f>H107+I107</f>
        <v>0</v>
      </c>
      <c r="L107" s="26">
        <f>SUM(L96:L106)</f>
        <v>105000</v>
      </c>
      <c r="M107" s="26">
        <f>SUM(M96:M106)</f>
        <v>-105000</v>
      </c>
      <c r="N107" s="26">
        <f>L107+M107</f>
        <v>0</v>
      </c>
      <c r="P107" s="26">
        <f>SUM(P96:P106)</f>
        <v>614000</v>
      </c>
      <c r="Q107" s="26">
        <f>SUM(Q96:Q106)</f>
        <v>-634000</v>
      </c>
      <c r="R107" s="26">
        <f>P107+Q107</f>
        <v>-20000</v>
      </c>
      <c r="S107" s="1"/>
      <c r="T107" s="26">
        <f>SUM(T96:T106)</f>
        <v>20000</v>
      </c>
      <c r="U107" s="26">
        <f>SUM(U96:U106)</f>
        <v>0</v>
      </c>
      <c r="V107" s="26">
        <f>T107+U107</f>
        <v>20000</v>
      </c>
      <c r="X107" s="26">
        <f t="shared" ref="X107:Z107" si="93">D107+H107+L107+P107+T107</f>
        <v>994857</v>
      </c>
      <c r="Y107" s="26">
        <f t="shared" si="93"/>
        <v>-994857</v>
      </c>
      <c r="Z107" s="26">
        <f t="shared" si="93"/>
        <v>0</v>
      </c>
    </row>
    <row r="108" spans="2:26" x14ac:dyDescent="0.25">
      <c r="B108" s="2"/>
      <c r="C108" s="2"/>
    </row>
    <row r="109" spans="2:26" x14ac:dyDescent="0.25">
      <c r="B109" s="2" t="s">
        <v>670</v>
      </c>
      <c r="C109" s="2"/>
      <c r="D109" s="8">
        <f>D93+D107</f>
        <v>255857</v>
      </c>
      <c r="E109" s="8">
        <f>E93+E107</f>
        <v>-148866</v>
      </c>
      <c r="F109" s="8">
        <f>D109+E109</f>
        <v>106991</v>
      </c>
      <c r="H109" s="8">
        <f>H93+H107</f>
        <v>0</v>
      </c>
      <c r="I109" s="8">
        <f>I93+I107</f>
        <v>106991</v>
      </c>
      <c r="J109" s="8">
        <f>H109+I109</f>
        <v>106991</v>
      </c>
      <c r="L109" s="8">
        <f>L93+L107</f>
        <v>105000</v>
      </c>
      <c r="M109" s="8">
        <f>M93+M107</f>
        <v>1991</v>
      </c>
      <c r="N109" s="8">
        <f>L109+M109</f>
        <v>106991</v>
      </c>
      <c r="P109" s="8">
        <f>P93+P107</f>
        <v>614000</v>
      </c>
      <c r="Q109" s="8">
        <f>Q93+Q107</f>
        <v>114937</v>
      </c>
      <c r="R109" s="8">
        <f>P109+Q109</f>
        <v>728937</v>
      </c>
      <c r="T109" s="8">
        <f>T93+T107</f>
        <v>20000</v>
      </c>
      <c r="U109" s="8">
        <f>U93+U107</f>
        <v>0</v>
      </c>
      <c r="V109" s="8">
        <f>T109+U109</f>
        <v>20000</v>
      </c>
      <c r="X109" s="8">
        <f>D109+H109+L109+P109+T109</f>
        <v>994857</v>
      </c>
      <c r="Y109" s="8">
        <f>E109+I109+M109+Q109+U109</f>
        <v>75053</v>
      </c>
      <c r="Z109" s="8">
        <f>F109+J109+N109+R109+V109</f>
        <v>1069910</v>
      </c>
    </row>
    <row r="110" spans="2:26" x14ac:dyDescent="0.25">
      <c r="B110" s="2"/>
      <c r="C110" s="2"/>
    </row>
    <row r="112" spans="2:26" x14ac:dyDescent="0.25">
      <c r="D112" t="s">
        <v>72</v>
      </c>
    </row>
    <row r="113" spans="4:18" x14ac:dyDescent="0.25">
      <c r="D113" s="2"/>
    </row>
    <row r="114" spans="4:18" x14ac:dyDescent="0.25">
      <c r="D114" s="2" t="s">
        <v>58</v>
      </c>
      <c r="E114" t="str">
        <f>"An encumbrance of " &amp; TEXT(-E109,"$#,#.00")  &amp; " will need to be made to the Community Housing Reserve to the " &amp; TEXT(D98,"$#,#.00") &amp; " Housing Trust FY24 project to insure no shortfall occurs in the Community Housing Reserve account in FY2024"</f>
        <v>An encumbrance of $148,866.00 will need to be made to the Community Housing Reserve to the $200,000.00 Housing Trust FY24 project to insure no shortfall occurs in the Community Housing Reserve account in FY2024</v>
      </c>
    </row>
    <row r="118" spans="4:18" x14ac:dyDescent="0.25">
      <c r="D118" t="s">
        <v>688</v>
      </c>
    </row>
    <row r="120" spans="4:18" x14ac:dyDescent="0.25">
      <c r="D120" s="36" t="s">
        <v>3</v>
      </c>
      <c r="E120" s="36"/>
      <c r="F120" s="36"/>
      <c r="H120" s="36" t="s">
        <v>4</v>
      </c>
      <c r="I120" s="36"/>
      <c r="J120" s="36"/>
      <c r="L120" s="36" t="s">
        <v>2</v>
      </c>
      <c r="M120" s="36"/>
      <c r="N120" s="36"/>
      <c r="P120" s="36" t="s">
        <v>13</v>
      </c>
      <c r="Q120" s="36"/>
      <c r="R120" s="36"/>
    </row>
    <row r="121" spans="4:18" x14ac:dyDescent="0.25">
      <c r="D121" s="6"/>
      <c r="E121" s="6"/>
      <c r="F121" s="6"/>
      <c r="H121" s="6"/>
      <c r="I121" s="6"/>
      <c r="J121" s="6"/>
    </row>
    <row r="122" spans="4:18" x14ac:dyDescent="0.25">
      <c r="E122" s="6" t="s">
        <v>110</v>
      </c>
      <c r="F122" s="6" t="s">
        <v>111</v>
      </c>
      <c r="I122" s="6" t="s">
        <v>110</v>
      </c>
      <c r="J122" s="6" t="s">
        <v>111</v>
      </c>
      <c r="M122" s="6" t="s">
        <v>110</v>
      </c>
      <c r="N122" s="6" t="s">
        <v>111</v>
      </c>
      <c r="Q122" s="6" t="s">
        <v>110</v>
      </c>
      <c r="R122" s="6" t="s">
        <v>111</v>
      </c>
    </row>
    <row r="123" spans="4:18" x14ac:dyDescent="0.25">
      <c r="E123" s="6"/>
      <c r="F123" s="6"/>
    </row>
    <row r="124" spans="4:18" x14ac:dyDescent="0.25">
      <c r="E124" s="2" t="str">
        <f>'FY22'!B56</f>
        <v xml:space="preserve">Housing Site Assessment </v>
      </c>
      <c r="F124" s="9">
        <v>65900</v>
      </c>
      <c r="I124" s="2" t="str">
        <f>'FY22'!B43</f>
        <v xml:space="preserve">Monument Restoration </v>
      </c>
      <c r="J124" s="9">
        <v>23927.5</v>
      </c>
      <c r="M124" s="2" t="str">
        <f>B20</f>
        <v xml:space="preserve">Conservation Fund FY23 </v>
      </c>
      <c r="N124" s="9">
        <v>8009</v>
      </c>
      <c r="Q124" s="2" t="str">
        <f>'FY22'!B48</f>
        <v xml:space="preserve">Lost Lake Restoration </v>
      </c>
      <c r="R124" s="9">
        <v>6235</v>
      </c>
    </row>
    <row r="125" spans="4:18" x14ac:dyDescent="0.25">
      <c r="E125" s="2" t="s">
        <v>462</v>
      </c>
      <c r="F125" s="14">
        <v>200000</v>
      </c>
      <c r="I125" s="2" t="str">
        <f>'FY22'!B44</f>
        <v xml:space="preserve">Prescott School FY19 </v>
      </c>
      <c r="J125" s="9">
        <v>19600.14</v>
      </c>
      <c r="M125" s="2" t="str">
        <f>'FY22'!B57</f>
        <v xml:space="preserve">Squannacook Rail Trail </v>
      </c>
      <c r="N125" s="9">
        <v>2000</v>
      </c>
      <c r="Q125" s="2" t="str">
        <f>'FY22'!B54</f>
        <v xml:space="preserve">Field Feasibility Study </v>
      </c>
      <c r="R125" s="9">
        <v>15200</v>
      </c>
    </row>
    <row r="126" spans="4:18" x14ac:dyDescent="0.25">
      <c r="E126" s="2" t="s">
        <v>113</v>
      </c>
      <c r="F126" s="13">
        <f>SUM(F124:F125)</f>
        <v>265900</v>
      </c>
      <c r="I126" s="2" t="str">
        <f>'FY22'!B47</f>
        <v xml:space="preserve">Fitch's Bridge Wall Repair </v>
      </c>
      <c r="J126" s="9">
        <v>23537.38</v>
      </c>
      <c r="M126" s="2" t="str">
        <f>'FY22'!B60</f>
        <v xml:space="preserve">Stadium Field </v>
      </c>
      <c r="N126" s="14">
        <v>30232</v>
      </c>
      <c r="Q126" s="2" t="str">
        <f>'FY22'!B55</f>
        <v xml:space="preserve">Lost Lake Pollution </v>
      </c>
      <c r="R126" s="9">
        <v>5918.24</v>
      </c>
    </row>
    <row r="127" spans="4:18" x14ac:dyDescent="0.25">
      <c r="I127" s="2" t="str">
        <f>'FY22'!B49</f>
        <v xml:space="preserve">Portrait Restoration </v>
      </c>
      <c r="J127" s="9">
        <v>2475</v>
      </c>
      <c r="M127" s="2" t="s">
        <v>113</v>
      </c>
      <c r="N127" s="13">
        <f>SUM(N124:N126)</f>
        <v>40241</v>
      </c>
      <c r="Q127" s="2" t="str">
        <f>'FY22'!B57</f>
        <v xml:space="preserve">Squannacook Rail Trail </v>
      </c>
      <c r="R127" s="9">
        <v>28000</v>
      </c>
    </row>
    <row r="128" spans="4:18" x14ac:dyDescent="0.25">
      <c r="I128" s="2" t="str">
        <f>'FY22'!B52</f>
        <v xml:space="preserve">WWI Cannon Restoration </v>
      </c>
      <c r="J128" s="9">
        <v>15000</v>
      </c>
      <c r="Q128" s="2" t="str">
        <f>'FY22'!B58</f>
        <v xml:space="preserve">Duck Pond Phase 2 </v>
      </c>
      <c r="R128" s="9">
        <v>19981.57</v>
      </c>
    </row>
    <row r="129" spans="4:18" x14ac:dyDescent="0.25">
      <c r="I129" s="2" t="str">
        <f>'FY22'!B53</f>
        <v xml:space="preserve">Cemetery Restoration </v>
      </c>
      <c r="J129" s="14">
        <v>65000</v>
      </c>
      <c r="Q129" s="2" t="str">
        <f>'FY22'!B60</f>
        <v xml:space="preserve">Stadium Field </v>
      </c>
      <c r="R129" s="9">
        <v>200000</v>
      </c>
    </row>
    <row r="130" spans="4:18" x14ac:dyDescent="0.25">
      <c r="I130" s="2" t="s">
        <v>113</v>
      </c>
      <c r="J130" s="13">
        <f>SUM(J124:J129)</f>
        <v>149540.02000000002</v>
      </c>
      <c r="Q130" s="2" t="str">
        <f>'FY22'!B62</f>
        <v xml:space="preserve">Country Club Courts </v>
      </c>
      <c r="R130" s="14">
        <v>148868.64000000001</v>
      </c>
    </row>
    <row r="131" spans="4:18" x14ac:dyDescent="0.25">
      <c r="I131" s="2"/>
      <c r="Q131" s="2" t="s">
        <v>113</v>
      </c>
      <c r="R131" s="13">
        <f>SUM(R124:R130)</f>
        <v>424203.45</v>
      </c>
    </row>
    <row r="132" spans="4:18" x14ac:dyDescent="0.25">
      <c r="H132" s="6"/>
      <c r="I132" s="2"/>
    </row>
    <row r="133" spans="4:18" x14ac:dyDescent="0.25">
      <c r="D133" s="6" t="s">
        <v>118</v>
      </c>
      <c r="E133" s="1"/>
      <c r="I133" s="2"/>
    </row>
    <row r="134" spans="4:18" x14ac:dyDescent="0.25">
      <c r="D134" s="2" t="s">
        <v>58</v>
      </c>
      <c r="E134" t="str">
        <f>"FY2024 local surtax revenue will be " &amp; TEXT(Z90,"$#,0") &amp; " or " &amp; TEXT('FY22'!Z10 - Z90, "$#,0.00") &amp; " less than in FY2022"</f>
        <v>FY2024 local surtax revenue will be $850,000 or $12,891.43 less than in FY2022</v>
      </c>
      <c r="I134" s="2"/>
    </row>
    <row r="135" spans="4:18" x14ac:dyDescent="0.25">
      <c r="D135" s="2" t="s">
        <v>60</v>
      </c>
      <c r="E135" t="str">
        <f>"FY2024 state match revenue (expected on 15 November 2023) will be " &amp; TEXT(Z91,"$#,0.00") &amp; " or " &amp; TEXT(Z91/Z10,"0.0%") &amp; " of the FY2023 local surtax revenue"</f>
        <v>FY2024 state match revenue (expected on 15 November 2023) will be $212,500.00 or 22.0% of the FY2023 local surtax revenue</v>
      </c>
    </row>
    <row r="136" spans="4:18" x14ac:dyDescent="0.25">
      <c r="D136" s="2" t="s">
        <v>109</v>
      </c>
      <c r="E136" t="str">
        <f>"FY2024 interest earned will be " &amp; TEXT(Z92,"$#,0.00")</f>
        <v>FY2024 interest earned will be $7,410.00</v>
      </c>
    </row>
    <row r="137" spans="4:18" x14ac:dyDescent="0.25">
      <c r="D137" s="2"/>
    </row>
    <row r="138" spans="4:18" x14ac:dyDescent="0.25">
      <c r="D138" s="2"/>
    </row>
  </sheetData>
  <mergeCells count="10">
    <mergeCell ref="D120:F120"/>
    <mergeCell ref="H120:J120"/>
    <mergeCell ref="L120:N120"/>
    <mergeCell ref="P120:R120"/>
    <mergeCell ref="X4:Z4"/>
    <mergeCell ref="D4:F4"/>
    <mergeCell ref="H4:J4"/>
    <mergeCell ref="L4:N4"/>
    <mergeCell ref="P4:R4"/>
    <mergeCell ref="T4:V4"/>
  </mergeCells>
  <printOptions horizontalCentered="1"/>
  <pageMargins left="0.25" right="0.25" top="0.75" bottom="0.75" header="0.3" footer="0.3"/>
  <pageSetup paperSize="5" scale="54" fitToHeight="0" orientation="landscape" r:id="rId1"/>
  <headerFooter>
    <oddFooter>&amp;L&amp;F&amp;CPage &amp;P of &amp;N&amp;R22 September 2023</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2:Z141"/>
  <sheetViews>
    <sheetView zoomScaleNormal="100" workbookViewId="0">
      <pane xSplit="2" ySplit="6" topLeftCell="C32" activePane="bottomRight" state="frozen"/>
      <selection pane="topRight" activeCell="C1" sqref="C1"/>
      <selection pane="bottomLeft" activeCell="A7" sqref="A7"/>
      <selection pane="bottomRight" activeCell="C32" sqref="C32"/>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2" spans="2:26" x14ac:dyDescent="0.25">
      <c r="D2" t="s">
        <v>754</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446</v>
      </c>
      <c r="D7" s="8">
        <f>'FY21'!D71</f>
        <v>237876</v>
      </c>
      <c r="E7" s="8">
        <f>'FY21'!E71</f>
        <v>393392.29</v>
      </c>
      <c r="F7" s="8">
        <f>D7+E7</f>
        <v>631268.29</v>
      </c>
      <c r="H7" s="8">
        <f>'FY21'!H71</f>
        <v>94086.02</v>
      </c>
      <c r="I7" s="8">
        <f>'FY21'!I71</f>
        <v>54968.97</v>
      </c>
      <c r="J7" s="8">
        <f>H7+I7</f>
        <v>149054.99</v>
      </c>
      <c r="L7" s="8">
        <f>'FY21'!L71</f>
        <v>70196</v>
      </c>
      <c r="M7" s="8">
        <f>'FY21'!M71</f>
        <v>16224.1</v>
      </c>
      <c r="N7" s="8">
        <f>L7+M7</f>
        <v>86420.1</v>
      </c>
      <c r="P7" s="8">
        <f>'FY21'!P71</f>
        <v>361172.66</v>
      </c>
      <c r="Q7" s="8">
        <f>'FY21'!Q71</f>
        <v>108530.8</v>
      </c>
      <c r="R7" s="8">
        <f>P7+Q7</f>
        <v>469703.45999999996</v>
      </c>
      <c r="T7" s="8">
        <f>'FY21'!T71</f>
        <v>0</v>
      </c>
      <c r="U7" s="8">
        <f>'FY21'!U71</f>
        <v>0</v>
      </c>
      <c r="V7" s="8">
        <f>T7+U7</f>
        <v>0</v>
      </c>
      <c r="X7" s="8">
        <f>D7+H7+L7+P7+T7</f>
        <v>763330.67999999993</v>
      </c>
      <c r="Y7" s="8">
        <f>E7+I7+M7+Q7+U7</f>
        <v>573116.16000000003</v>
      </c>
      <c r="Z7" s="8">
        <f>F7+J7+N7+R7+V7</f>
        <v>1336446.8399999999</v>
      </c>
    </row>
    <row r="9" spans="2:26" x14ac:dyDescent="0.25">
      <c r="B9" s="5" t="s">
        <v>11</v>
      </c>
      <c r="C9" s="5"/>
      <c r="T9" s="1"/>
      <c r="U9" s="1"/>
      <c r="V9" s="1"/>
    </row>
    <row r="10" spans="2:26" x14ac:dyDescent="0.25">
      <c r="B10" s="2" t="s">
        <v>711</v>
      </c>
      <c r="C10" s="2"/>
      <c r="D10" s="9">
        <v>0</v>
      </c>
      <c r="E10" s="9">
        <f>ROUND(862891.43/10,2)</f>
        <v>86289.14</v>
      </c>
      <c r="F10" s="8">
        <f t="shared" ref="F10:F15" si="0">D10+E10</f>
        <v>86289.14</v>
      </c>
      <c r="H10" s="9">
        <v>0</v>
      </c>
      <c r="I10" s="9">
        <f>ROUND(862891.43/10,2)</f>
        <v>86289.14</v>
      </c>
      <c r="J10" s="8">
        <f t="shared" ref="J10:J15" si="1">H10+I10</f>
        <v>86289.14</v>
      </c>
      <c r="L10" s="9">
        <v>0</v>
      </c>
      <c r="M10" s="9">
        <f>ROUND(862891.43/10,2)</f>
        <v>86289.14</v>
      </c>
      <c r="N10" s="8">
        <f t="shared" ref="N10:N15" si="2">L10+M10</f>
        <v>86289.14</v>
      </c>
      <c r="P10" s="9">
        <v>0</v>
      </c>
      <c r="Q10" s="9">
        <f>862891.43-E10-I10-M10</f>
        <v>604024.01</v>
      </c>
      <c r="R10" s="8">
        <f t="shared" ref="R10:R15" si="3">P10+Q10</f>
        <v>604024.01</v>
      </c>
      <c r="T10" s="1"/>
      <c r="U10" s="1"/>
      <c r="V10" s="1"/>
      <c r="X10" s="8">
        <f t="shared" ref="X10:Z15" si="4">D10+H10+L10+P10+T10</f>
        <v>0</v>
      </c>
      <c r="Y10" s="8">
        <f t="shared" si="4"/>
        <v>862891.42999999993</v>
      </c>
      <c r="Z10" s="8">
        <f t="shared" si="4"/>
        <v>862891.42999999993</v>
      </c>
    </row>
    <row r="11" spans="2:26" x14ac:dyDescent="0.25">
      <c r="B11" s="2" t="s">
        <v>5</v>
      </c>
      <c r="C11" s="2"/>
      <c r="D11" s="9">
        <v>0</v>
      </c>
      <c r="E11" s="9">
        <f>ROUND(728.21/10,2)</f>
        <v>72.819999999999993</v>
      </c>
      <c r="F11" s="8">
        <f t="shared" si="0"/>
        <v>72.819999999999993</v>
      </c>
      <c r="H11" s="9">
        <v>0</v>
      </c>
      <c r="I11" s="9">
        <f>ROUND(728.21/10,2)</f>
        <v>72.819999999999993</v>
      </c>
      <c r="J11" s="8">
        <f t="shared" si="1"/>
        <v>72.819999999999993</v>
      </c>
      <c r="L11" s="9">
        <v>0</v>
      </c>
      <c r="M11" s="9">
        <f>ROUND(728.21/10,2)</f>
        <v>72.819999999999993</v>
      </c>
      <c r="N11" s="8">
        <f t="shared" si="2"/>
        <v>72.819999999999993</v>
      </c>
      <c r="P11" s="9">
        <v>0</v>
      </c>
      <c r="Q11" s="9">
        <f>728.21-E11-I11-M11</f>
        <v>509.75000000000017</v>
      </c>
      <c r="R11" s="8">
        <f t="shared" si="3"/>
        <v>509.75000000000017</v>
      </c>
      <c r="T11" s="1"/>
      <c r="U11" s="1"/>
      <c r="V11" s="1"/>
      <c r="X11" s="8">
        <f t="shared" si="4"/>
        <v>0</v>
      </c>
      <c r="Y11" s="8">
        <f t="shared" si="4"/>
        <v>728.21000000000015</v>
      </c>
      <c r="Z11" s="8">
        <f t="shared" si="4"/>
        <v>728.21000000000015</v>
      </c>
    </row>
    <row r="12" spans="2:26" x14ac:dyDescent="0.25">
      <c r="B12" s="2" t="s">
        <v>429</v>
      </c>
      <c r="C12" s="2"/>
      <c r="D12" s="9">
        <v>0</v>
      </c>
      <c r="E12" s="9">
        <f>(470128+54091)/10</f>
        <v>52421.9</v>
      </c>
      <c r="F12" s="8">
        <f t="shared" si="0"/>
        <v>52421.9</v>
      </c>
      <c r="H12" s="9">
        <v>0</v>
      </c>
      <c r="I12" s="9">
        <f>(470128+54091)/10</f>
        <v>52421.9</v>
      </c>
      <c r="J12" s="8">
        <f t="shared" si="1"/>
        <v>52421.9</v>
      </c>
      <c r="L12" s="9">
        <v>0</v>
      </c>
      <c r="M12" s="9">
        <f>(470128+54091)/10</f>
        <v>52421.9</v>
      </c>
      <c r="N12" s="8">
        <f t="shared" si="2"/>
        <v>52421.9</v>
      </c>
      <c r="P12" s="9">
        <v>0</v>
      </c>
      <c r="Q12" s="9">
        <f>470128+54091-E12-I12-M12</f>
        <v>366953.29999999993</v>
      </c>
      <c r="R12" s="8">
        <f t="shared" si="3"/>
        <v>366953.29999999993</v>
      </c>
      <c r="T12" s="1"/>
      <c r="U12" s="1"/>
      <c r="V12" s="1"/>
      <c r="X12" s="8">
        <f t="shared" si="4"/>
        <v>0</v>
      </c>
      <c r="Y12" s="8">
        <f t="shared" si="4"/>
        <v>524218.99999999994</v>
      </c>
      <c r="Z12" s="8">
        <f t="shared" si="4"/>
        <v>524218.99999999994</v>
      </c>
    </row>
    <row r="13" spans="2: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2:26" ht="15.75" thickBot="1" x14ac:dyDescent="0.3">
      <c r="B14" s="2" t="s">
        <v>447</v>
      </c>
      <c r="C14" s="2"/>
      <c r="D14" s="9">
        <v>0</v>
      </c>
      <c r="E14" s="9">
        <f>ROUND(9238.76/10,2)</f>
        <v>923.88</v>
      </c>
      <c r="F14" s="15">
        <f t="shared" si="0"/>
        <v>923.88</v>
      </c>
      <c r="H14" s="14">
        <v>0</v>
      </c>
      <c r="I14" s="9">
        <f>ROUND(9238.76/10,2)</f>
        <v>923.88</v>
      </c>
      <c r="J14" s="15">
        <f t="shared" si="1"/>
        <v>923.88</v>
      </c>
      <c r="L14" s="14">
        <v>0</v>
      </c>
      <c r="M14" s="9">
        <f>ROUND(9238.76/10,2)</f>
        <v>923.88</v>
      </c>
      <c r="N14" s="15">
        <f t="shared" si="2"/>
        <v>923.88</v>
      </c>
      <c r="P14" s="14">
        <v>0</v>
      </c>
      <c r="Q14" s="14">
        <f>9238.76-E14-I14-M14</f>
        <v>6467.1200000000008</v>
      </c>
      <c r="R14" s="15">
        <f t="shared" si="3"/>
        <v>6467.1200000000008</v>
      </c>
      <c r="T14" s="1"/>
      <c r="U14" s="1"/>
      <c r="V14" s="1"/>
      <c r="X14" s="15">
        <f t="shared" si="4"/>
        <v>0</v>
      </c>
      <c r="Y14" s="15">
        <f t="shared" si="4"/>
        <v>9238.76</v>
      </c>
      <c r="Z14" s="15">
        <f t="shared" si="4"/>
        <v>9238.76</v>
      </c>
    </row>
    <row r="15" spans="2:26" x14ac:dyDescent="0.25">
      <c r="B15" s="2" t="s">
        <v>28</v>
      </c>
      <c r="C15" s="2"/>
      <c r="D15" s="26">
        <f>SUM(D10:D14)</f>
        <v>0</v>
      </c>
      <c r="E15" s="26">
        <f>SUM(E10:E14)</f>
        <v>139707.74000000002</v>
      </c>
      <c r="F15" s="26">
        <f t="shared" si="0"/>
        <v>139707.74000000002</v>
      </c>
      <c r="H15" s="26">
        <f>SUM(H10:H14)</f>
        <v>0</v>
      </c>
      <c r="I15" s="26">
        <f>SUM(I10:I14)</f>
        <v>139707.74000000002</v>
      </c>
      <c r="J15" s="26">
        <f t="shared" si="1"/>
        <v>139707.74000000002</v>
      </c>
      <c r="L15" s="26">
        <f>SUM(L10:L14)</f>
        <v>0</v>
      </c>
      <c r="M15" s="26">
        <f>SUM(M10:M14)</f>
        <v>139707.74000000002</v>
      </c>
      <c r="N15" s="26">
        <f t="shared" si="2"/>
        <v>139707.74000000002</v>
      </c>
      <c r="P15" s="26">
        <f>SUM(P10:P14)</f>
        <v>0</v>
      </c>
      <c r="Q15" s="26">
        <f>SUM(Q10:Q14)</f>
        <v>977954.17999999993</v>
      </c>
      <c r="R15" s="26">
        <f t="shared" si="3"/>
        <v>977954.17999999993</v>
      </c>
      <c r="S15" s="1"/>
      <c r="T15" s="26">
        <f>SUM(T10:T14)</f>
        <v>0</v>
      </c>
      <c r="U15" s="26">
        <f>SUM(U10:U14)</f>
        <v>0</v>
      </c>
      <c r="V15" s="26">
        <f>T15+U15</f>
        <v>0</v>
      </c>
      <c r="X15" s="26">
        <f t="shared" si="4"/>
        <v>0</v>
      </c>
      <c r="Y15" s="26">
        <f t="shared" si="4"/>
        <v>1397077.4</v>
      </c>
      <c r="Z15" s="26">
        <f t="shared" si="4"/>
        <v>1397077.4</v>
      </c>
    </row>
    <row r="16" spans="2:26" x14ac:dyDescent="0.25">
      <c r="E16" s="1"/>
    </row>
    <row r="17" spans="2:26" x14ac:dyDescent="0.25">
      <c r="B17" s="5" t="s">
        <v>648</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-15500</v>
      </c>
      <c r="R18" s="8">
        <f>P18+Q18</f>
        <v>-15500</v>
      </c>
      <c r="T18" s="9">
        <f>15500</f>
        <v>15500</v>
      </c>
      <c r="U18" s="9">
        <v>0</v>
      </c>
      <c r="V18" s="8">
        <f>T18+U18</f>
        <v>15500</v>
      </c>
      <c r="X18" s="8">
        <f t="shared" ref="X18" si="5">D18+H18+L18+P18+T18</f>
        <v>15500</v>
      </c>
      <c r="Y18" s="8">
        <f t="shared" ref="Y18" si="6">E18+I18+M18+Q18+U18</f>
        <v>-15500</v>
      </c>
      <c r="Z18" s="8">
        <f t="shared" ref="Z18" si="7">F18+J18+N18+R18+V18</f>
        <v>0</v>
      </c>
    </row>
    <row r="19" spans="2:26" x14ac:dyDescent="0.25">
      <c r="B19" s="2" t="s">
        <v>52</v>
      </c>
      <c r="C19" s="5"/>
      <c r="E19" s="1"/>
      <c r="F19" s="1"/>
      <c r="H19" s="1"/>
      <c r="I19" s="1"/>
      <c r="J19" s="1"/>
      <c r="M19" s="1"/>
      <c r="N19" s="1"/>
      <c r="P19" s="8">
        <v>0</v>
      </c>
      <c r="Q19" s="8">
        <f>-T19</f>
        <v>-5000</v>
      </c>
      <c r="R19" s="8">
        <f>P19+Q19</f>
        <v>-5000</v>
      </c>
      <c r="T19" s="9">
        <f>2500+2500</f>
        <v>5000</v>
      </c>
      <c r="U19" s="9">
        <v>0</v>
      </c>
      <c r="V19" s="8">
        <f>T19+U19</f>
        <v>5000</v>
      </c>
      <c r="X19" s="8">
        <f t="shared" ref="X19" si="8">D19+H19+L19+P19+T19</f>
        <v>5000</v>
      </c>
      <c r="Y19" s="8">
        <f t="shared" ref="Y19" si="9">E19+I19+M19+Q19+U19</f>
        <v>-5000</v>
      </c>
      <c r="Z19" s="8">
        <f t="shared" ref="Z19" si="10">F19+J19+N19+R19+V19</f>
        <v>0</v>
      </c>
    </row>
    <row r="20" spans="2:26" x14ac:dyDescent="0.25">
      <c r="B20" s="2" t="s">
        <v>433</v>
      </c>
      <c r="C20" s="6" t="s">
        <v>17</v>
      </c>
      <c r="L20" s="9">
        <f>145000-68259</f>
        <v>76741</v>
      </c>
      <c r="M20" s="8">
        <f>-L20</f>
        <v>-76741</v>
      </c>
      <c r="N20" s="8">
        <f>L20+M20</f>
        <v>0</v>
      </c>
      <c r="P20" s="9">
        <f>204150-145000</f>
        <v>59150</v>
      </c>
      <c r="Q20" s="8">
        <f>-P20</f>
        <v>-59150</v>
      </c>
      <c r="R20" s="8">
        <f>P20+Q20</f>
        <v>0</v>
      </c>
      <c r="X20" s="8">
        <f t="shared" ref="X20:X32" si="11">D20+H20+L20+P20+T20</f>
        <v>135891</v>
      </c>
      <c r="Y20" s="8">
        <f t="shared" ref="Y20:Y32" si="12">E20+I20+M20+Q20+U20</f>
        <v>-135891</v>
      </c>
      <c r="Z20" s="8">
        <f t="shared" ref="Z20:Z32" si="13">F20+J20+N20+R20+V20</f>
        <v>0</v>
      </c>
    </row>
    <row r="21" spans="2:26" x14ac:dyDescent="0.25">
      <c r="B21" s="2" t="s">
        <v>789</v>
      </c>
      <c r="C21" s="6" t="s">
        <v>629</v>
      </c>
      <c r="H21" s="8">
        <v>65000</v>
      </c>
      <c r="I21" s="8">
        <f>-H21</f>
        <v>-65000</v>
      </c>
      <c r="J21" s="8">
        <f>H21+I21</f>
        <v>0</v>
      </c>
      <c r="L21" s="1"/>
      <c r="M21" s="1"/>
      <c r="X21" s="8">
        <f t="shared" si="11"/>
        <v>65000</v>
      </c>
      <c r="Y21" s="8">
        <f t="shared" si="12"/>
        <v>-65000</v>
      </c>
      <c r="Z21" s="8">
        <f t="shared" si="13"/>
        <v>0</v>
      </c>
    </row>
    <row r="22" spans="2:26" x14ac:dyDescent="0.25">
      <c r="B22" s="2" t="s">
        <v>631</v>
      </c>
      <c r="C22" s="6" t="s">
        <v>630</v>
      </c>
      <c r="H22" s="1"/>
      <c r="I22" s="1"/>
      <c r="J22" s="1"/>
      <c r="L22" s="1"/>
      <c r="M22" s="1"/>
      <c r="P22" s="8">
        <v>20000</v>
      </c>
      <c r="Q22" s="8">
        <f>-P22</f>
        <v>-20000</v>
      </c>
      <c r="R22" s="8">
        <f>P22+Q22</f>
        <v>0</v>
      </c>
      <c r="X22" s="8">
        <f t="shared" si="11"/>
        <v>20000</v>
      </c>
      <c r="Y22" s="8">
        <f t="shared" si="12"/>
        <v>-20000</v>
      </c>
      <c r="Z22" s="8">
        <f t="shared" si="13"/>
        <v>0</v>
      </c>
    </row>
    <row r="23" spans="2:26" x14ac:dyDescent="0.25">
      <c r="B23" s="2" t="s">
        <v>632</v>
      </c>
      <c r="C23" s="6" t="s">
        <v>633</v>
      </c>
      <c r="H23" s="1"/>
      <c r="I23" s="1"/>
      <c r="J23" s="1"/>
      <c r="L23" s="1"/>
      <c r="M23" s="1"/>
      <c r="P23" s="8">
        <v>40000</v>
      </c>
      <c r="Q23" s="8">
        <f>-P23</f>
        <v>-40000</v>
      </c>
      <c r="R23" s="8">
        <f>P23+Q23</f>
        <v>0</v>
      </c>
      <c r="X23" s="8">
        <f t="shared" si="11"/>
        <v>40000</v>
      </c>
      <c r="Y23" s="8">
        <f t="shared" si="12"/>
        <v>-40000</v>
      </c>
      <c r="Z23" s="8">
        <f t="shared" si="13"/>
        <v>0</v>
      </c>
    </row>
    <row r="24" spans="2:26" x14ac:dyDescent="0.25">
      <c r="B24" s="2" t="s">
        <v>635</v>
      </c>
      <c r="C24" s="6" t="s">
        <v>634</v>
      </c>
      <c r="D24" s="9">
        <f>75000-37876</f>
        <v>37124</v>
      </c>
      <c r="E24" s="8">
        <f>-D24</f>
        <v>-37124</v>
      </c>
      <c r="F24" s="8">
        <f>D24+E24</f>
        <v>0</v>
      </c>
      <c r="H24" s="1"/>
      <c r="I24" s="1"/>
      <c r="J24" s="1"/>
      <c r="L24" s="1"/>
      <c r="M24" s="1"/>
      <c r="X24" s="8">
        <f t="shared" si="11"/>
        <v>37124</v>
      </c>
      <c r="Y24" s="8">
        <f t="shared" si="12"/>
        <v>-37124</v>
      </c>
      <c r="Z24" s="8">
        <f t="shared" si="13"/>
        <v>0</v>
      </c>
    </row>
    <row r="25" spans="2:26" x14ac:dyDescent="0.25">
      <c r="B25" s="2" t="s">
        <v>512</v>
      </c>
      <c r="C25" s="6" t="s">
        <v>636</v>
      </c>
      <c r="H25" s="1"/>
      <c r="I25" s="1"/>
      <c r="J25" s="1"/>
      <c r="L25" s="8">
        <v>2000</v>
      </c>
      <c r="M25" s="8">
        <f>-L25</f>
        <v>-2000</v>
      </c>
      <c r="N25" s="8">
        <f>L25+M25</f>
        <v>0</v>
      </c>
      <c r="P25" s="8">
        <v>28000</v>
      </c>
      <c r="Q25" s="8">
        <f>-P25</f>
        <v>-28000</v>
      </c>
      <c r="R25" s="8">
        <f>P25+Q25</f>
        <v>0</v>
      </c>
      <c r="X25" s="8">
        <f t="shared" si="11"/>
        <v>30000</v>
      </c>
      <c r="Y25" s="8">
        <f t="shared" si="12"/>
        <v>-30000</v>
      </c>
      <c r="Z25" s="8">
        <f t="shared" si="13"/>
        <v>0</v>
      </c>
    </row>
    <row r="26" spans="2:26" x14ac:dyDescent="0.25">
      <c r="B26" s="2" t="s">
        <v>637</v>
      </c>
      <c r="C26" s="6" t="s">
        <v>638</v>
      </c>
      <c r="H26" s="1"/>
      <c r="I26" s="1"/>
      <c r="J26" s="1"/>
      <c r="L26" s="1"/>
      <c r="M26" s="1"/>
      <c r="P26" s="8">
        <f>19800</f>
        <v>19800</v>
      </c>
      <c r="Q26" s="8">
        <f>-P26</f>
        <v>-19800</v>
      </c>
      <c r="R26" s="8">
        <f>P26+Q26</f>
        <v>0</v>
      </c>
      <c r="X26" s="8">
        <f t="shared" si="11"/>
        <v>19800</v>
      </c>
      <c r="Y26" s="8">
        <f t="shared" si="12"/>
        <v>-19800</v>
      </c>
      <c r="Z26" s="8">
        <f t="shared" si="13"/>
        <v>0</v>
      </c>
    </row>
    <row r="27" spans="2:26" x14ac:dyDescent="0.25">
      <c r="B27" s="2" t="s">
        <v>628</v>
      </c>
      <c r="C27" s="6" t="s">
        <v>639</v>
      </c>
      <c r="D27" s="9">
        <v>51617</v>
      </c>
      <c r="E27" s="8">
        <f>-D27</f>
        <v>-51617</v>
      </c>
      <c r="F27" s="8">
        <f>D27+E27</f>
        <v>0</v>
      </c>
      <c r="H27" s="1"/>
      <c r="I27" s="1"/>
      <c r="J27" s="1"/>
      <c r="L27" s="1"/>
      <c r="M27" s="1"/>
      <c r="X27" s="8">
        <f t="shared" si="11"/>
        <v>51617</v>
      </c>
      <c r="Y27" s="8">
        <f t="shared" si="12"/>
        <v>-51617</v>
      </c>
      <c r="Z27" s="8">
        <f t="shared" si="13"/>
        <v>0</v>
      </c>
    </row>
    <row r="28" spans="2:26" x14ac:dyDescent="0.25">
      <c r="B28" s="2" t="s">
        <v>641</v>
      </c>
      <c r="C28" s="6" t="s">
        <v>640</v>
      </c>
      <c r="H28" s="1"/>
      <c r="I28" s="1"/>
      <c r="J28" s="1"/>
      <c r="L28" s="8">
        <v>30232</v>
      </c>
      <c r="M28" s="8">
        <f>-L28</f>
        <v>-30232</v>
      </c>
      <c r="N28" s="8">
        <f>L28+M28</f>
        <v>0</v>
      </c>
      <c r="P28" s="8">
        <f>230232-L28</f>
        <v>200000</v>
      </c>
      <c r="Q28" s="8">
        <f>-P28</f>
        <v>-200000</v>
      </c>
      <c r="R28" s="8">
        <f>P28+Q28</f>
        <v>0</v>
      </c>
      <c r="X28" s="8">
        <f t="shared" si="11"/>
        <v>230232</v>
      </c>
      <c r="Y28" s="8">
        <f t="shared" si="12"/>
        <v>-230232</v>
      </c>
      <c r="Z28" s="8">
        <f t="shared" si="13"/>
        <v>0</v>
      </c>
    </row>
    <row r="29" spans="2:26" x14ac:dyDescent="0.25">
      <c r="B29" s="2" t="s">
        <v>847</v>
      </c>
      <c r="C29" s="6" t="s">
        <v>642</v>
      </c>
      <c r="H29" s="1"/>
      <c r="I29" s="1"/>
      <c r="J29" s="1"/>
      <c r="L29" s="1"/>
      <c r="M29" s="1"/>
      <c r="P29" s="8">
        <f>350000-243975</f>
        <v>106025</v>
      </c>
      <c r="Q29" s="8">
        <f>-P29</f>
        <v>-106025</v>
      </c>
      <c r="R29" s="8">
        <f>P29+Q29</f>
        <v>0</v>
      </c>
      <c r="X29" s="8">
        <f t="shared" si="11"/>
        <v>106025</v>
      </c>
      <c r="Y29" s="8">
        <f t="shared" si="12"/>
        <v>-106025</v>
      </c>
      <c r="Z29" s="8">
        <f t="shared" si="13"/>
        <v>0</v>
      </c>
    </row>
    <row r="30" spans="2:26" x14ac:dyDescent="0.25">
      <c r="B30" s="2" t="s">
        <v>644</v>
      </c>
      <c r="C30" s="6" t="s">
        <v>643</v>
      </c>
      <c r="H30" s="1"/>
      <c r="I30" s="1"/>
      <c r="J30" s="1"/>
      <c r="L30" s="1"/>
      <c r="M30" s="1"/>
      <c r="P30" s="8">
        <v>157480</v>
      </c>
      <c r="Q30" s="8">
        <f>-P30</f>
        <v>-157480</v>
      </c>
      <c r="R30" s="8">
        <f>P30+Q30</f>
        <v>0</v>
      </c>
      <c r="X30" s="8">
        <f t="shared" si="11"/>
        <v>157480</v>
      </c>
      <c r="Y30" s="8">
        <f t="shared" si="12"/>
        <v>-157480</v>
      </c>
      <c r="Z30" s="8">
        <f t="shared" si="13"/>
        <v>0</v>
      </c>
    </row>
    <row r="31" spans="2:26" x14ac:dyDescent="0.25">
      <c r="B31" s="2" t="s">
        <v>646</v>
      </c>
      <c r="C31" s="6" t="s">
        <v>645</v>
      </c>
      <c r="H31" s="8">
        <v>3000</v>
      </c>
      <c r="I31" s="8">
        <f>-H31</f>
        <v>-3000</v>
      </c>
      <c r="J31" s="8">
        <f>H31+I31</f>
        <v>0</v>
      </c>
      <c r="L31" s="1"/>
      <c r="M31" s="1"/>
      <c r="X31" s="8">
        <f t="shared" si="11"/>
        <v>3000</v>
      </c>
      <c r="Y31" s="8">
        <f t="shared" si="12"/>
        <v>-3000</v>
      </c>
      <c r="Z31" s="8">
        <f t="shared" si="13"/>
        <v>0</v>
      </c>
    </row>
    <row r="32" spans="2:26" ht="15.75" thickBot="1" x14ac:dyDescent="0.3">
      <c r="B32" s="2" t="s">
        <v>894</v>
      </c>
      <c r="C32" s="6" t="s">
        <v>647</v>
      </c>
      <c r="H32" s="1"/>
      <c r="I32" s="1"/>
      <c r="J32" s="1"/>
      <c r="L32" s="1"/>
      <c r="M32" s="1"/>
      <c r="P32" s="8">
        <v>0</v>
      </c>
      <c r="Q32" s="8">
        <f>-P32</f>
        <v>0</v>
      </c>
      <c r="R32" s="8">
        <f>P32+Q32</f>
        <v>0</v>
      </c>
      <c r="X32" s="8">
        <f t="shared" si="11"/>
        <v>0</v>
      </c>
      <c r="Y32" s="8">
        <f t="shared" si="12"/>
        <v>0</v>
      </c>
      <c r="Z32" s="8">
        <f t="shared" si="13"/>
        <v>0</v>
      </c>
    </row>
    <row r="33" spans="2:26" x14ac:dyDescent="0.25">
      <c r="B33" s="2" t="s">
        <v>657</v>
      </c>
      <c r="C33" s="2"/>
      <c r="D33" s="26">
        <f>SUM(D18:D32)</f>
        <v>88741</v>
      </c>
      <c r="E33" s="26">
        <f>SUM(E18:E32)</f>
        <v>-88741</v>
      </c>
      <c r="F33" s="26">
        <f>D33+E33</f>
        <v>0</v>
      </c>
      <c r="H33" s="26">
        <f>SUM(H18:H32)</f>
        <v>68000</v>
      </c>
      <c r="I33" s="26">
        <f>SUM(I18:I32)</f>
        <v>-68000</v>
      </c>
      <c r="J33" s="26">
        <f>H33+I33</f>
        <v>0</v>
      </c>
      <c r="L33" s="26">
        <f>SUM(L18:L32)</f>
        <v>108973</v>
      </c>
      <c r="M33" s="26">
        <f>SUM(M18:M32)</f>
        <v>-108973</v>
      </c>
      <c r="N33" s="26">
        <f>L33+M33</f>
        <v>0</v>
      </c>
      <c r="P33" s="26">
        <f>SUM(P18:P32)</f>
        <v>630455</v>
      </c>
      <c r="Q33" s="26">
        <f>SUM(Q18:Q32)</f>
        <v>-650955</v>
      </c>
      <c r="R33" s="26">
        <f>P33+Q33</f>
        <v>-20500</v>
      </c>
      <c r="S33" s="1"/>
      <c r="T33" s="26">
        <f>SUM(T18:T32)</f>
        <v>20500</v>
      </c>
      <c r="U33" s="26">
        <f>SUM(U18:U32)</f>
        <v>0</v>
      </c>
      <c r="V33" s="26">
        <f>T33+U33</f>
        <v>20500</v>
      </c>
      <c r="X33" s="26">
        <f>D33+H33+L33+P33+T33</f>
        <v>916669</v>
      </c>
      <c r="Y33" s="26">
        <f t="shared" ref="Y33:Z33" si="14">E33+I33+M33+Q33+U33</f>
        <v>-916669</v>
      </c>
      <c r="Z33" s="26">
        <f t="shared" si="14"/>
        <v>0</v>
      </c>
    </row>
    <row r="34" spans="2:26" x14ac:dyDescent="0.25">
      <c r="H34" s="1"/>
      <c r="I34" s="1"/>
      <c r="J34" s="1"/>
      <c r="L34" s="1"/>
      <c r="M34" s="1"/>
      <c r="N34" s="1"/>
      <c r="P34" s="1"/>
      <c r="Q34" s="1"/>
      <c r="R34" s="1"/>
    </row>
    <row r="35" spans="2:26" x14ac:dyDescent="0.25">
      <c r="B35" s="5" t="s">
        <v>658</v>
      </c>
      <c r="H35" s="1"/>
      <c r="I35" s="1"/>
      <c r="J35" s="1"/>
      <c r="L35" s="1"/>
      <c r="M35" s="1"/>
      <c r="N35" s="1"/>
      <c r="Q35" s="1"/>
      <c r="R35" s="1"/>
    </row>
    <row r="36" spans="2:26" ht="15.75" thickBot="1" x14ac:dyDescent="0.3">
      <c r="B36" s="2"/>
      <c r="H36" s="1"/>
      <c r="I36" s="1"/>
      <c r="J36" s="1"/>
      <c r="L36" s="1"/>
      <c r="M36" s="1"/>
      <c r="N36" s="1"/>
      <c r="X36" s="8">
        <f t="shared" ref="X36:Z37" si="15">D36+H36+L36+P36+T36</f>
        <v>0</v>
      </c>
      <c r="Y36" s="8">
        <f t="shared" si="15"/>
        <v>0</v>
      </c>
      <c r="Z36" s="8">
        <f t="shared" si="15"/>
        <v>0</v>
      </c>
    </row>
    <row r="37" spans="2:26" x14ac:dyDescent="0.25">
      <c r="B37" s="2" t="s">
        <v>655</v>
      </c>
      <c r="D37" s="26">
        <f>SUM(D36:D36)</f>
        <v>0</v>
      </c>
      <c r="E37" s="26">
        <f>SUM(E36:E36)</f>
        <v>0</v>
      </c>
      <c r="F37" s="26">
        <f>D37+E37</f>
        <v>0</v>
      </c>
      <c r="H37" s="26">
        <f>SUM(H36:H36)</f>
        <v>0</v>
      </c>
      <c r="I37" s="26">
        <f>SUM(I36:I36)</f>
        <v>0</v>
      </c>
      <c r="J37" s="26">
        <f>H37+I37</f>
        <v>0</v>
      </c>
      <c r="L37" s="26">
        <f>SUM(L36:L36)</f>
        <v>0</v>
      </c>
      <c r="M37" s="26">
        <f>SUM(M36:M36)</f>
        <v>0</v>
      </c>
      <c r="N37" s="26">
        <f>L37+M37</f>
        <v>0</v>
      </c>
      <c r="P37" s="26">
        <f>SUM(P36:P36)</f>
        <v>0</v>
      </c>
      <c r="Q37" s="26">
        <f>SUM(Q36:Q36)</f>
        <v>0</v>
      </c>
      <c r="R37" s="26">
        <f>P37+Q37</f>
        <v>0</v>
      </c>
      <c r="S37" s="1"/>
      <c r="T37" s="26">
        <f>SUM(T36:T36)</f>
        <v>0</v>
      </c>
      <c r="U37" s="26">
        <f>SUM(U36:U36)</f>
        <v>0</v>
      </c>
      <c r="V37" s="26">
        <f>T37+U37</f>
        <v>0</v>
      </c>
      <c r="X37" s="26">
        <f t="shared" si="15"/>
        <v>0</v>
      </c>
      <c r="Y37" s="26">
        <f t="shared" si="15"/>
        <v>0</v>
      </c>
      <c r="Z37" s="26">
        <f t="shared" si="15"/>
        <v>0</v>
      </c>
    </row>
    <row r="38" spans="2:26" x14ac:dyDescent="0.25">
      <c r="H38" s="1"/>
      <c r="I38" s="1"/>
      <c r="J38" s="1"/>
      <c r="L38" s="1"/>
      <c r="M38" s="1"/>
      <c r="N38" s="1"/>
      <c r="P38" s="1"/>
      <c r="Q38" s="1"/>
      <c r="R38" s="1"/>
    </row>
    <row r="39" spans="2:26" x14ac:dyDescent="0.25">
      <c r="B39" s="5" t="s">
        <v>8</v>
      </c>
      <c r="C39" s="5"/>
      <c r="H39" s="1"/>
      <c r="I39" s="1"/>
      <c r="J39" s="1"/>
      <c r="L39" s="1"/>
      <c r="M39" s="1"/>
      <c r="N39" s="1"/>
      <c r="P39" s="1"/>
      <c r="Q39" s="1"/>
    </row>
    <row r="40" spans="2:26" x14ac:dyDescent="0.25">
      <c r="B40" s="2" t="s">
        <v>7</v>
      </c>
      <c r="C40" s="2"/>
      <c r="D40" s="1"/>
      <c r="E40" s="1"/>
      <c r="F40" s="1"/>
      <c r="H40" s="1"/>
      <c r="I40" s="1"/>
      <c r="J40" s="1"/>
      <c r="T40" s="9">
        <v>-15500</v>
      </c>
      <c r="U40" s="9">
        <v>0</v>
      </c>
      <c r="V40" s="8">
        <f>T40+U40</f>
        <v>-15500</v>
      </c>
      <c r="X40" s="8">
        <f t="shared" ref="X40:Y41" si="16">D40+H40+L40+P40+T40</f>
        <v>-15500</v>
      </c>
      <c r="Y40" s="8">
        <f t="shared" si="16"/>
        <v>0</v>
      </c>
      <c r="Z40" s="8">
        <f t="shared" ref="Z40:Z41" si="17">X40+Y40</f>
        <v>-15500</v>
      </c>
    </row>
    <row r="41" spans="2:26" x14ac:dyDescent="0.25">
      <c r="B41" s="2" t="s">
        <v>52</v>
      </c>
      <c r="C41" s="2"/>
      <c r="D41" s="1"/>
      <c r="E41" s="1"/>
      <c r="F41" s="1"/>
      <c r="H41" s="1"/>
      <c r="I41" s="1"/>
      <c r="J41" s="1"/>
      <c r="L41" s="1"/>
      <c r="M41" s="1"/>
      <c r="N41" s="1"/>
      <c r="Q41" s="1"/>
      <c r="R41" s="1"/>
      <c r="T41" s="9">
        <v>-3884.9</v>
      </c>
      <c r="U41" s="9">
        <v>0</v>
      </c>
      <c r="V41" s="8">
        <f>T41+U41</f>
        <v>-3884.9</v>
      </c>
      <c r="X41" s="8">
        <f t="shared" si="16"/>
        <v>-3884.9</v>
      </c>
      <c r="Y41" s="8">
        <f t="shared" si="16"/>
        <v>0</v>
      </c>
      <c r="Z41" s="8">
        <f t="shared" si="17"/>
        <v>-3884.9</v>
      </c>
    </row>
    <row r="42" spans="2:26" x14ac:dyDescent="0.25">
      <c r="B42" s="2" t="s">
        <v>433</v>
      </c>
      <c r="C42" s="6" t="s">
        <v>17</v>
      </c>
      <c r="D42" s="1"/>
      <c r="E42" s="1"/>
      <c r="F42" s="1"/>
      <c r="H42" s="1"/>
      <c r="I42" s="1"/>
      <c r="J42" s="1"/>
      <c r="L42" s="9">
        <v>-145000</v>
      </c>
      <c r="M42" s="9">
        <v>0</v>
      </c>
      <c r="N42" s="8">
        <f>L42+M42</f>
        <v>-145000</v>
      </c>
      <c r="P42" s="9">
        <f>-55000-4150</f>
        <v>-59150</v>
      </c>
      <c r="Q42" s="9">
        <v>0</v>
      </c>
      <c r="R42" s="8">
        <f>P42+Q42</f>
        <v>-59150</v>
      </c>
      <c r="X42" s="15">
        <f t="shared" ref="X42" si="18">D42+H42+L42+P42+T42</f>
        <v>-204150</v>
      </c>
      <c r="Y42" s="15">
        <f t="shared" ref="Y42" si="19">E42+I42+M42+Q42+U42</f>
        <v>0</v>
      </c>
      <c r="Z42" s="15">
        <f t="shared" ref="Z42" si="20">X42+Y42</f>
        <v>-204150</v>
      </c>
    </row>
    <row r="43" spans="2:26" x14ac:dyDescent="0.25">
      <c r="B43" s="2" t="s">
        <v>306</v>
      </c>
      <c r="C43" s="6" t="s">
        <v>354</v>
      </c>
      <c r="D43" s="1"/>
      <c r="E43" s="1"/>
      <c r="F43" s="1"/>
      <c r="H43" s="9">
        <v>0</v>
      </c>
      <c r="I43" s="9">
        <v>0</v>
      </c>
      <c r="J43" s="8">
        <f>H43+I43</f>
        <v>0</v>
      </c>
      <c r="L43" s="1"/>
      <c r="M43" s="1"/>
      <c r="N43" s="1"/>
      <c r="Q43" s="1"/>
      <c r="R43" s="1"/>
      <c r="X43" s="15">
        <f t="shared" ref="X43" si="21">D43+H43+L43+P43+T43</f>
        <v>0</v>
      </c>
      <c r="Y43" s="15">
        <f t="shared" ref="Y43" si="22">E43+I43+M43+Q43+U43</f>
        <v>0</v>
      </c>
      <c r="Z43" s="15">
        <f t="shared" ref="Z43" si="23">X43+Y43</f>
        <v>0</v>
      </c>
    </row>
    <row r="44" spans="2:26" x14ac:dyDescent="0.25">
      <c r="B44" s="2" t="s">
        <v>582</v>
      </c>
      <c r="C44" s="6" t="s">
        <v>378</v>
      </c>
      <c r="D44" s="1"/>
      <c r="E44" s="1"/>
      <c r="F44" s="1"/>
      <c r="H44" s="9">
        <v>0</v>
      </c>
      <c r="I44" s="9">
        <v>0</v>
      </c>
      <c r="J44" s="8">
        <f>H44+I44</f>
        <v>0</v>
      </c>
      <c r="L44" s="1"/>
      <c r="M44" s="1"/>
      <c r="N44" s="1"/>
      <c r="P44" s="9">
        <v>-6000</v>
      </c>
      <c r="Q44" s="9">
        <v>0</v>
      </c>
      <c r="R44" s="8">
        <f>P44+Q44</f>
        <v>-6000</v>
      </c>
      <c r="X44" s="15">
        <f t="shared" ref="X44:X47" si="24">D44+H44+L44+P44+T44</f>
        <v>-6000</v>
      </c>
      <c r="Y44" s="15">
        <f t="shared" ref="Y44:Y47" si="25">E44+I44+M44+Q44+U44</f>
        <v>0</v>
      </c>
      <c r="Z44" s="15">
        <f t="shared" ref="Z44:Z47" si="26">X44+Y44</f>
        <v>-6000</v>
      </c>
    </row>
    <row r="45" spans="2:26" x14ac:dyDescent="0.25">
      <c r="B45" s="2" t="s">
        <v>380</v>
      </c>
      <c r="C45" s="6" t="s">
        <v>381</v>
      </c>
      <c r="D45" s="1"/>
      <c r="E45" s="1"/>
      <c r="F45" s="1"/>
      <c r="L45" s="1"/>
      <c r="M45" s="1"/>
      <c r="N45" s="1"/>
      <c r="P45" s="9">
        <v>-9225.66</v>
      </c>
      <c r="Q45" s="9">
        <v>0</v>
      </c>
      <c r="R45" s="8">
        <f>P45+Q45</f>
        <v>-9225.66</v>
      </c>
      <c r="X45" s="15">
        <f t="shared" ref="X45" si="27">D45+H45+L45+P45+T45</f>
        <v>-9225.66</v>
      </c>
      <c r="Y45" s="15">
        <f t="shared" ref="Y45" si="28">E45+I45+M45+Q45+U45</f>
        <v>0</v>
      </c>
      <c r="Z45" s="15">
        <f t="shared" ref="Z45" si="29">X45+Y45</f>
        <v>-9225.66</v>
      </c>
    </row>
    <row r="46" spans="2:26" x14ac:dyDescent="0.25">
      <c r="B46" s="2" t="s">
        <v>382</v>
      </c>
      <c r="C46" s="6" t="s">
        <v>383</v>
      </c>
      <c r="D46" s="1"/>
      <c r="E46" s="1"/>
      <c r="F46" s="1"/>
      <c r="L46" s="1"/>
      <c r="M46" s="1"/>
      <c r="N46" s="1"/>
      <c r="P46" s="9">
        <v>-3272</v>
      </c>
      <c r="Q46" s="9">
        <v>0</v>
      </c>
      <c r="R46" s="8">
        <f>P46+Q46</f>
        <v>-3272</v>
      </c>
      <c r="X46" s="15">
        <f t="shared" ref="X46" si="30">D46+H46+L46+P46+T46</f>
        <v>-3272</v>
      </c>
      <c r="Y46" s="15">
        <f t="shared" ref="Y46" si="31">E46+I46+M46+Q46+U46</f>
        <v>0</v>
      </c>
      <c r="Z46" s="15">
        <f t="shared" ref="Z46" si="32">X46+Y46</f>
        <v>-3272</v>
      </c>
    </row>
    <row r="47" spans="2:26" x14ac:dyDescent="0.25">
      <c r="B47" s="2" t="s">
        <v>410</v>
      </c>
      <c r="C47" s="6" t="s">
        <v>414</v>
      </c>
      <c r="D47" s="1"/>
      <c r="E47" s="1"/>
      <c r="F47" s="1"/>
      <c r="H47" s="9">
        <v>0</v>
      </c>
      <c r="I47" s="9">
        <v>0</v>
      </c>
      <c r="J47" s="8">
        <f>H47+I47</f>
        <v>0</v>
      </c>
      <c r="L47" s="1"/>
      <c r="M47" s="1"/>
      <c r="N47" s="1"/>
      <c r="Q47" s="1"/>
      <c r="R47" s="1"/>
      <c r="X47" s="15">
        <f t="shared" si="24"/>
        <v>0</v>
      </c>
      <c r="Y47" s="15">
        <f t="shared" si="25"/>
        <v>0</v>
      </c>
      <c r="Z47" s="15">
        <f t="shared" si="26"/>
        <v>0</v>
      </c>
    </row>
    <row r="48" spans="2:26" x14ac:dyDescent="0.25">
      <c r="B48" s="2" t="s">
        <v>469</v>
      </c>
      <c r="C48" s="6" t="s">
        <v>463</v>
      </c>
      <c r="D48" s="1"/>
      <c r="E48" s="1"/>
      <c r="F48" s="1"/>
      <c r="L48" s="1"/>
      <c r="M48" s="1"/>
      <c r="N48" s="1"/>
      <c r="P48" s="9">
        <v>-88765</v>
      </c>
      <c r="Q48" s="9">
        <v>0</v>
      </c>
      <c r="R48" s="8">
        <f>P48+Q48</f>
        <v>-88765</v>
      </c>
      <c r="X48" s="15">
        <f t="shared" ref="X48" si="33">D48+H48+L48+P48+T48</f>
        <v>-88765</v>
      </c>
      <c r="Y48" s="15">
        <f t="shared" ref="Y48" si="34">E48+I48+M48+Q48+U48</f>
        <v>0</v>
      </c>
      <c r="Z48" s="15">
        <f t="shared" ref="Z48" si="35">X48+Y48</f>
        <v>-88765</v>
      </c>
    </row>
    <row r="49" spans="2:26" x14ac:dyDescent="0.25">
      <c r="B49" s="2" t="s">
        <v>458</v>
      </c>
      <c r="C49" s="6" t="s">
        <v>465</v>
      </c>
      <c r="D49" s="1"/>
      <c r="E49" s="1"/>
      <c r="F49" s="1"/>
      <c r="H49" s="9">
        <v>-8925</v>
      </c>
      <c r="I49" s="9">
        <v>0</v>
      </c>
      <c r="J49" s="8">
        <f>H49+I49</f>
        <v>-8925</v>
      </c>
      <c r="L49" s="1"/>
      <c r="M49" s="1"/>
      <c r="N49" s="1"/>
      <c r="Q49" s="1"/>
      <c r="R49" s="1"/>
      <c r="X49" s="15">
        <f t="shared" ref="X49:X52" si="36">D49+H49+L49+P49+T49</f>
        <v>-8925</v>
      </c>
      <c r="Y49" s="15">
        <f t="shared" ref="Y49:Y52" si="37">E49+I49+M49+Q49+U49</f>
        <v>0</v>
      </c>
      <c r="Z49" s="15">
        <f t="shared" ref="Z49:Z52" si="38">X49+Y49</f>
        <v>-8925</v>
      </c>
    </row>
    <row r="50" spans="2:26" x14ac:dyDescent="0.25">
      <c r="B50" s="2" t="s">
        <v>459</v>
      </c>
      <c r="C50" s="6" t="s">
        <v>466</v>
      </c>
      <c r="D50" s="1"/>
      <c r="E50" s="1"/>
      <c r="F50" s="1"/>
      <c r="H50" s="9">
        <v>-372.8</v>
      </c>
      <c r="I50" s="9">
        <v>0</v>
      </c>
      <c r="J50" s="8">
        <f>H50+I50</f>
        <v>-372.8</v>
      </c>
      <c r="L50" s="1"/>
      <c r="M50" s="1"/>
      <c r="N50" s="1"/>
      <c r="Q50" s="1"/>
      <c r="R50" s="1"/>
      <c r="X50" s="15">
        <f t="shared" si="36"/>
        <v>-372.8</v>
      </c>
      <c r="Y50" s="15">
        <f t="shared" si="37"/>
        <v>0</v>
      </c>
      <c r="Z50" s="15">
        <f t="shared" si="38"/>
        <v>-372.8</v>
      </c>
    </row>
    <row r="51" spans="2:26" x14ac:dyDescent="0.25">
      <c r="B51" s="2" t="s">
        <v>460</v>
      </c>
      <c r="C51" s="6" t="s">
        <v>467</v>
      </c>
      <c r="D51" s="1"/>
      <c r="E51" s="1"/>
      <c r="F51" s="1"/>
      <c r="L51" s="9">
        <v>-1936.58</v>
      </c>
      <c r="M51" s="9">
        <v>0</v>
      </c>
      <c r="N51" s="8">
        <f>L51+M51</f>
        <v>-1936.58</v>
      </c>
      <c r="Q51" s="1"/>
      <c r="R51" s="1"/>
      <c r="X51" s="15">
        <f t="shared" ref="X51" si="39">D51+H51+L51+P51+T51</f>
        <v>-1936.58</v>
      </c>
      <c r="Y51" s="15">
        <f t="shared" ref="Y51" si="40">E51+I51+M51+Q51+U51</f>
        <v>0</v>
      </c>
      <c r="Z51" s="15">
        <f t="shared" ref="Z51" si="41">X51+Y51</f>
        <v>-1936.58</v>
      </c>
    </row>
    <row r="52" spans="2:26" x14ac:dyDescent="0.25">
      <c r="B52" s="2" t="s">
        <v>461</v>
      </c>
      <c r="C52" s="6" t="s">
        <v>468</v>
      </c>
      <c r="D52" s="1"/>
      <c r="E52" s="1"/>
      <c r="F52" s="1"/>
      <c r="H52" s="9">
        <v>0</v>
      </c>
      <c r="I52" s="9">
        <v>0</v>
      </c>
      <c r="J52" s="8">
        <f>H52+I52</f>
        <v>0</v>
      </c>
      <c r="L52" s="1"/>
      <c r="M52" s="1"/>
      <c r="N52" s="1"/>
      <c r="Q52" s="1"/>
      <c r="R52" s="1"/>
      <c r="X52" s="15">
        <f t="shared" si="36"/>
        <v>0</v>
      </c>
      <c r="Y52" s="15">
        <f t="shared" si="37"/>
        <v>0</v>
      </c>
      <c r="Z52" s="15">
        <f t="shared" si="38"/>
        <v>0</v>
      </c>
    </row>
    <row r="53" spans="2:26" x14ac:dyDescent="0.25">
      <c r="B53" s="2" t="s">
        <v>789</v>
      </c>
      <c r="C53" s="6" t="s">
        <v>629</v>
      </c>
      <c r="D53" s="1"/>
      <c r="E53" s="1"/>
      <c r="F53" s="1"/>
      <c r="H53" s="9">
        <v>0</v>
      </c>
      <c r="I53" s="9">
        <v>0</v>
      </c>
      <c r="J53" s="8">
        <f>H53+I53</f>
        <v>0</v>
      </c>
      <c r="X53" s="15">
        <f t="shared" ref="X53:X64" si="42">D53+H53+L53+P53+T53</f>
        <v>0</v>
      </c>
      <c r="Y53" s="15">
        <f t="shared" ref="Y53:Y64" si="43">E53+I53+M53+Q53+U53</f>
        <v>0</v>
      </c>
      <c r="Z53" s="15">
        <f t="shared" ref="Z53:Z64" si="44">X53+Y53</f>
        <v>0</v>
      </c>
    </row>
    <row r="54" spans="2:26" x14ac:dyDescent="0.25">
      <c r="B54" s="2" t="s">
        <v>631</v>
      </c>
      <c r="C54" s="6" t="s">
        <v>630</v>
      </c>
      <c r="D54" s="1"/>
      <c r="E54" s="1"/>
      <c r="F54" s="1"/>
      <c r="H54" s="1"/>
      <c r="I54" s="1"/>
      <c r="J54" s="1"/>
      <c r="P54" s="9">
        <v>-4800</v>
      </c>
      <c r="Q54" s="9">
        <v>0</v>
      </c>
      <c r="R54" s="8">
        <f>P54+Q54</f>
        <v>-4800</v>
      </c>
      <c r="X54" s="15">
        <f t="shared" si="42"/>
        <v>-4800</v>
      </c>
      <c r="Y54" s="15">
        <f t="shared" si="43"/>
        <v>0</v>
      </c>
      <c r="Z54" s="15">
        <f t="shared" si="44"/>
        <v>-4800</v>
      </c>
    </row>
    <row r="55" spans="2:26" x14ac:dyDescent="0.25">
      <c r="B55" s="2" t="s">
        <v>632</v>
      </c>
      <c r="C55" s="6" t="s">
        <v>633</v>
      </c>
      <c r="D55" s="1"/>
      <c r="E55" s="1"/>
      <c r="F55" s="1"/>
      <c r="H55" s="1"/>
      <c r="I55" s="1"/>
      <c r="J55" s="1"/>
      <c r="P55" s="9">
        <v>-34081.760000000002</v>
      </c>
      <c r="Q55" s="9">
        <v>0</v>
      </c>
      <c r="R55" s="8">
        <f>P55+Q55</f>
        <v>-34081.760000000002</v>
      </c>
      <c r="X55" s="15">
        <f t="shared" si="42"/>
        <v>-34081.760000000002</v>
      </c>
      <c r="Y55" s="15">
        <f t="shared" si="43"/>
        <v>0</v>
      </c>
      <c r="Z55" s="15">
        <f t="shared" si="44"/>
        <v>-34081.760000000002</v>
      </c>
    </row>
    <row r="56" spans="2:26" x14ac:dyDescent="0.25">
      <c r="B56" s="2" t="s">
        <v>635</v>
      </c>
      <c r="C56" s="6" t="s">
        <v>634</v>
      </c>
      <c r="D56" s="9">
        <f>-9100</f>
        <v>-9100</v>
      </c>
      <c r="E56" s="9">
        <v>0</v>
      </c>
      <c r="F56" s="8">
        <f>D56+E56</f>
        <v>-9100</v>
      </c>
      <c r="X56" s="15">
        <f t="shared" si="42"/>
        <v>-9100</v>
      </c>
      <c r="Y56" s="15">
        <f t="shared" si="43"/>
        <v>0</v>
      </c>
      <c r="Z56" s="15">
        <f t="shared" si="44"/>
        <v>-9100</v>
      </c>
    </row>
    <row r="57" spans="2:26" x14ac:dyDescent="0.25">
      <c r="B57" s="2" t="s">
        <v>512</v>
      </c>
      <c r="C57" s="6" t="s">
        <v>636</v>
      </c>
      <c r="D57" s="1"/>
      <c r="E57" s="1"/>
      <c r="F57" s="1"/>
      <c r="H57" s="1"/>
      <c r="I57" s="1"/>
      <c r="J57" s="1"/>
      <c r="L57" s="9">
        <v>0</v>
      </c>
      <c r="M57" s="9">
        <v>0</v>
      </c>
      <c r="N57" s="8">
        <f>L57+M57</f>
        <v>0</v>
      </c>
      <c r="P57" s="9">
        <v>0</v>
      </c>
      <c r="Q57" s="9">
        <v>0</v>
      </c>
      <c r="R57" s="8">
        <f>P57+Q57</f>
        <v>0</v>
      </c>
      <c r="X57" s="15">
        <f t="shared" si="42"/>
        <v>0</v>
      </c>
      <c r="Y57" s="15">
        <f t="shared" si="43"/>
        <v>0</v>
      </c>
      <c r="Z57" s="15">
        <f t="shared" si="44"/>
        <v>0</v>
      </c>
    </row>
    <row r="58" spans="2:26" x14ac:dyDescent="0.25">
      <c r="B58" s="2" t="s">
        <v>637</v>
      </c>
      <c r="C58" s="6" t="s">
        <v>638</v>
      </c>
      <c r="D58" s="1"/>
      <c r="E58" s="1"/>
      <c r="F58" s="1"/>
      <c r="H58" s="1"/>
      <c r="I58" s="1"/>
      <c r="J58" s="1"/>
      <c r="P58" s="9">
        <v>-3518.43</v>
      </c>
      <c r="Q58" s="9">
        <v>0</v>
      </c>
      <c r="R58" s="8">
        <f>P58+Q58</f>
        <v>-3518.43</v>
      </c>
      <c r="X58" s="15">
        <f t="shared" si="42"/>
        <v>-3518.43</v>
      </c>
      <c r="Y58" s="15">
        <f t="shared" si="43"/>
        <v>0</v>
      </c>
      <c r="Z58" s="15">
        <f t="shared" si="44"/>
        <v>-3518.43</v>
      </c>
    </row>
    <row r="59" spans="2:26" x14ac:dyDescent="0.25">
      <c r="B59" s="2" t="s">
        <v>628</v>
      </c>
      <c r="C59" s="6" t="s">
        <v>639</v>
      </c>
      <c r="D59" s="9">
        <v>-51617</v>
      </c>
      <c r="E59" s="9">
        <v>0</v>
      </c>
      <c r="F59" s="8">
        <f>D59+E59</f>
        <v>-51617</v>
      </c>
      <c r="H59" s="1"/>
      <c r="I59" s="1"/>
      <c r="J59" s="1"/>
      <c r="X59" s="15">
        <f t="shared" si="42"/>
        <v>-51617</v>
      </c>
      <c r="Y59" s="15">
        <f t="shared" si="43"/>
        <v>0</v>
      </c>
      <c r="Z59" s="15">
        <f t="shared" si="44"/>
        <v>-51617</v>
      </c>
    </row>
    <row r="60" spans="2:26" x14ac:dyDescent="0.25">
      <c r="B60" s="2" t="s">
        <v>641</v>
      </c>
      <c r="C60" s="6" t="s">
        <v>640</v>
      </c>
      <c r="D60" s="1"/>
      <c r="E60" s="1"/>
      <c r="F60" s="1"/>
      <c r="H60" s="1"/>
      <c r="I60" s="1"/>
      <c r="J60" s="1"/>
      <c r="L60" s="9">
        <v>0</v>
      </c>
      <c r="M60" s="9">
        <v>0</v>
      </c>
      <c r="N60" s="8">
        <f>L60+M60</f>
        <v>0</v>
      </c>
      <c r="P60" s="9">
        <v>0</v>
      </c>
      <c r="Q60" s="9">
        <v>0</v>
      </c>
      <c r="R60" s="8">
        <f>P60+Q60</f>
        <v>0</v>
      </c>
      <c r="X60" s="15">
        <f t="shared" si="42"/>
        <v>0</v>
      </c>
      <c r="Y60" s="15">
        <f t="shared" si="43"/>
        <v>0</v>
      </c>
      <c r="Z60" s="15">
        <f t="shared" si="44"/>
        <v>0</v>
      </c>
    </row>
    <row r="61" spans="2:26" x14ac:dyDescent="0.25">
      <c r="B61" s="2" t="s">
        <v>847</v>
      </c>
      <c r="C61" s="6" t="s">
        <v>642</v>
      </c>
      <c r="D61" s="1"/>
      <c r="E61" s="1"/>
      <c r="F61" s="1"/>
      <c r="H61" s="1"/>
      <c r="I61" s="1"/>
      <c r="J61" s="1"/>
      <c r="P61" s="9">
        <v>-350000</v>
      </c>
      <c r="Q61" s="9">
        <v>0</v>
      </c>
      <c r="R61" s="8">
        <f>P61+Q61</f>
        <v>-350000</v>
      </c>
      <c r="X61" s="15">
        <f t="shared" si="42"/>
        <v>-350000</v>
      </c>
      <c r="Y61" s="15">
        <f t="shared" si="43"/>
        <v>0</v>
      </c>
      <c r="Z61" s="15">
        <f t="shared" si="44"/>
        <v>-350000</v>
      </c>
    </row>
    <row r="62" spans="2:26" x14ac:dyDescent="0.25">
      <c r="B62" s="2" t="s">
        <v>644</v>
      </c>
      <c r="C62" s="6" t="s">
        <v>643</v>
      </c>
      <c r="D62" s="1"/>
      <c r="E62" s="1"/>
      <c r="F62" s="1"/>
      <c r="H62" s="1"/>
      <c r="I62" s="1"/>
      <c r="J62" s="1"/>
      <c r="P62" s="9">
        <v>-8611.36</v>
      </c>
      <c r="Q62" s="9">
        <v>0</v>
      </c>
      <c r="R62" s="8">
        <f>P62+Q62</f>
        <v>-8611.36</v>
      </c>
      <c r="X62" s="15">
        <f t="shared" si="42"/>
        <v>-8611.36</v>
      </c>
      <c r="Y62" s="15">
        <f t="shared" si="43"/>
        <v>0</v>
      </c>
      <c r="Z62" s="15">
        <f t="shared" si="44"/>
        <v>-8611.36</v>
      </c>
    </row>
    <row r="63" spans="2:26" x14ac:dyDescent="0.25">
      <c r="B63" s="2" t="s">
        <v>646</v>
      </c>
      <c r="C63" s="6" t="s">
        <v>645</v>
      </c>
      <c r="D63" s="1"/>
      <c r="E63" s="1"/>
      <c r="F63" s="1"/>
      <c r="H63" s="9">
        <v>-2250</v>
      </c>
      <c r="I63" s="9">
        <v>0</v>
      </c>
      <c r="J63" s="8">
        <f>H63+I63</f>
        <v>-2250</v>
      </c>
      <c r="X63" s="15">
        <f t="shared" si="42"/>
        <v>-2250</v>
      </c>
      <c r="Y63" s="15">
        <f t="shared" si="43"/>
        <v>0</v>
      </c>
      <c r="Z63" s="15">
        <f t="shared" si="44"/>
        <v>-2250</v>
      </c>
    </row>
    <row r="64" spans="2:26" ht="15.75" thickBot="1" x14ac:dyDescent="0.3">
      <c r="B64" s="2" t="s">
        <v>894</v>
      </c>
      <c r="C64" s="6" t="s">
        <v>647</v>
      </c>
      <c r="D64" s="1"/>
      <c r="E64" s="1"/>
      <c r="F64" s="1"/>
      <c r="H64" s="1"/>
      <c r="I64" s="1"/>
      <c r="J64" s="1"/>
      <c r="P64" s="9">
        <v>0</v>
      </c>
      <c r="Q64" s="9">
        <v>0</v>
      </c>
      <c r="R64" s="8">
        <f>P64+Q64</f>
        <v>0</v>
      </c>
      <c r="X64" s="15">
        <f t="shared" si="42"/>
        <v>0</v>
      </c>
      <c r="Y64" s="15">
        <f t="shared" si="43"/>
        <v>0</v>
      </c>
      <c r="Z64" s="15">
        <f t="shared" si="44"/>
        <v>0</v>
      </c>
    </row>
    <row r="65" spans="2:26" x14ac:dyDescent="0.25">
      <c r="B65" s="2" t="s">
        <v>31</v>
      </c>
      <c r="C65" s="2"/>
      <c r="D65" s="26">
        <f>SUM(D40:D64)</f>
        <v>-60717</v>
      </c>
      <c r="E65" s="26">
        <f>SUM(E40:E64)</f>
        <v>0</v>
      </c>
      <c r="F65" s="26">
        <f>D65+E65</f>
        <v>-60717</v>
      </c>
      <c r="H65" s="26">
        <f>SUM(H40:H64)</f>
        <v>-11547.8</v>
      </c>
      <c r="I65" s="26">
        <f>SUM(I40:I64)</f>
        <v>0</v>
      </c>
      <c r="J65" s="26">
        <f>H65+I65</f>
        <v>-11547.8</v>
      </c>
      <c r="L65" s="26">
        <f>SUM(L40:L64)</f>
        <v>-146936.57999999999</v>
      </c>
      <c r="M65" s="26">
        <f>SUM(M40:M64)</f>
        <v>0</v>
      </c>
      <c r="N65" s="26">
        <f>L65+M65</f>
        <v>-146936.57999999999</v>
      </c>
      <c r="P65" s="26">
        <f>SUM(P40:P64)</f>
        <v>-567424.21</v>
      </c>
      <c r="Q65" s="26">
        <f>SUM(Q40:Q64)</f>
        <v>0</v>
      </c>
      <c r="R65" s="26">
        <f>P65+Q65</f>
        <v>-567424.21</v>
      </c>
      <c r="T65" s="26">
        <f>SUM(T40:T64)</f>
        <v>-19384.900000000001</v>
      </c>
      <c r="U65" s="26">
        <f>SUM(U40:U64)</f>
        <v>0</v>
      </c>
      <c r="V65" s="26">
        <f>T65+U65</f>
        <v>-19384.900000000001</v>
      </c>
      <c r="X65" s="26">
        <f>SUM(X40:X64)</f>
        <v>-806010.49</v>
      </c>
      <c r="Y65" s="26">
        <f>SUM(Y40:Y64)</f>
        <v>0</v>
      </c>
      <c r="Z65" s="26">
        <f>X65+Y65</f>
        <v>-806010.49</v>
      </c>
    </row>
    <row r="66" spans="2:26" x14ac:dyDescent="0.25">
      <c r="P66" s="1"/>
      <c r="Q66" s="1"/>
      <c r="U66" s="1"/>
      <c r="V66" s="1"/>
      <c r="X66" s="1"/>
    </row>
    <row r="67" spans="2:26" x14ac:dyDescent="0.25">
      <c r="B67" s="5" t="s">
        <v>10</v>
      </c>
      <c r="C67" s="5"/>
      <c r="D67" s="1"/>
      <c r="E67" s="1"/>
      <c r="F67" s="1"/>
      <c r="L67" s="1"/>
      <c r="M67" s="1"/>
      <c r="N67" s="1"/>
    </row>
    <row r="68" spans="2:26" x14ac:dyDescent="0.25">
      <c r="B68" s="2" t="s">
        <v>7</v>
      </c>
      <c r="C68" s="2"/>
      <c r="T68" s="9">
        <v>0</v>
      </c>
      <c r="U68" s="8">
        <f>-T68</f>
        <v>0</v>
      </c>
      <c r="V68" s="8">
        <f>T68+U68</f>
        <v>0</v>
      </c>
      <c r="X68" s="8">
        <f t="shared" ref="X68:Y69" si="45">D68+H68+L68+P68+T68</f>
        <v>0</v>
      </c>
      <c r="Y68" s="8">
        <f t="shared" si="45"/>
        <v>0</v>
      </c>
      <c r="Z68" s="8">
        <f t="shared" ref="Z68:Z73" si="46">X68+Y68</f>
        <v>0</v>
      </c>
    </row>
    <row r="69" spans="2:26" x14ac:dyDescent="0.25">
      <c r="B69" s="2" t="s">
        <v>52</v>
      </c>
      <c r="C69" s="2"/>
      <c r="P69" s="9">
        <v>0</v>
      </c>
      <c r="Q69" s="8">
        <f>-T69</f>
        <v>1115.0999999999999</v>
      </c>
      <c r="R69" s="8">
        <f>P69+Q69</f>
        <v>1115.0999999999999</v>
      </c>
      <c r="T69" s="9">
        <v>-1115.0999999999999</v>
      </c>
      <c r="U69" s="8">
        <v>0</v>
      </c>
      <c r="V69" s="8">
        <f>T69+U69</f>
        <v>-1115.0999999999999</v>
      </c>
      <c r="X69" s="8">
        <f t="shared" si="45"/>
        <v>-1115.0999999999999</v>
      </c>
      <c r="Y69" s="8">
        <f t="shared" si="45"/>
        <v>1115.0999999999999</v>
      </c>
      <c r="Z69" s="8">
        <f t="shared" si="46"/>
        <v>0</v>
      </c>
    </row>
    <row r="70" spans="2:26" x14ac:dyDescent="0.25">
      <c r="B70" s="2" t="s">
        <v>460</v>
      </c>
      <c r="C70" s="6" t="s">
        <v>467</v>
      </c>
      <c r="L70" s="9">
        <v>-0.42</v>
      </c>
      <c r="M70" s="8">
        <f>-L70</f>
        <v>0.42</v>
      </c>
      <c r="N70" s="8">
        <f>L70+M70</f>
        <v>0</v>
      </c>
      <c r="X70" s="8">
        <f t="shared" ref="X70:X71" si="47">D70+H70+L70+P70+T70</f>
        <v>-0.42</v>
      </c>
      <c r="Y70" s="8">
        <f t="shared" ref="Y70:Y71" si="48">E70+I70+M70+Q70+U70</f>
        <v>0.42</v>
      </c>
      <c r="Z70" s="8">
        <f t="shared" si="46"/>
        <v>0</v>
      </c>
    </row>
    <row r="71" spans="2:26" x14ac:dyDescent="0.25">
      <c r="B71" s="2" t="s">
        <v>459</v>
      </c>
      <c r="C71" s="6" t="s">
        <v>466</v>
      </c>
      <c r="H71" s="9">
        <v>-248.2</v>
      </c>
      <c r="I71" s="8">
        <f>-H71</f>
        <v>248.2</v>
      </c>
      <c r="J71" s="8">
        <f>H71+I71</f>
        <v>0</v>
      </c>
      <c r="X71" s="8">
        <f t="shared" si="47"/>
        <v>-248.2</v>
      </c>
      <c r="Y71" s="8">
        <f t="shared" si="48"/>
        <v>248.2</v>
      </c>
      <c r="Z71" s="8">
        <f t="shared" si="46"/>
        <v>0</v>
      </c>
    </row>
    <row r="72" spans="2:26" ht="15.75" thickBot="1" x14ac:dyDescent="0.3">
      <c r="B72" s="2" t="s">
        <v>646</v>
      </c>
      <c r="C72" s="6" t="str">
        <f>C63</f>
        <v>2022-13</v>
      </c>
      <c r="H72" s="9">
        <v>-750</v>
      </c>
      <c r="I72" s="8">
        <f>-H72</f>
        <v>750</v>
      </c>
      <c r="J72" s="8">
        <f>H72+I72</f>
        <v>0</v>
      </c>
      <c r="X72" s="8">
        <f t="shared" ref="X72" si="49">D72+H72+L72+P72+T72</f>
        <v>-750</v>
      </c>
      <c r="Y72" s="8">
        <f t="shared" ref="Y72" si="50">E72+I72+M72+Q72+U72</f>
        <v>750</v>
      </c>
      <c r="Z72" s="8">
        <f t="shared" si="46"/>
        <v>0</v>
      </c>
    </row>
    <row r="73" spans="2:26" x14ac:dyDescent="0.25">
      <c r="B73" s="2" t="s">
        <v>39</v>
      </c>
      <c r="C73" s="2"/>
      <c r="D73" s="26">
        <f>SUM(D68:D72)</f>
        <v>0</v>
      </c>
      <c r="E73" s="26">
        <f>SUM(E68:E72)</f>
        <v>0</v>
      </c>
      <c r="F73" s="26">
        <f>D73+E73</f>
        <v>0</v>
      </c>
      <c r="H73" s="26">
        <f>SUM(H68:H72)</f>
        <v>-998.2</v>
      </c>
      <c r="I73" s="26">
        <f>SUM(I68:I72)</f>
        <v>998.2</v>
      </c>
      <c r="J73" s="26">
        <f>H73+I73</f>
        <v>0</v>
      </c>
      <c r="L73" s="26">
        <f>SUM(L68:L72)</f>
        <v>-0.42</v>
      </c>
      <c r="M73" s="26">
        <f>SUM(M68:M72)</f>
        <v>0.42</v>
      </c>
      <c r="N73" s="26">
        <f>L73+M73</f>
        <v>0</v>
      </c>
      <c r="P73" s="26">
        <f>SUM(P68:P72)</f>
        <v>0</v>
      </c>
      <c r="Q73" s="26">
        <f>SUM(Q68:Q72)</f>
        <v>1115.0999999999999</v>
      </c>
      <c r="R73" s="26">
        <f>P73+Q73</f>
        <v>1115.0999999999999</v>
      </c>
      <c r="S73" s="1"/>
      <c r="T73" s="26">
        <f>SUM(T68:T72)</f>
        <v>-1115.0999999999999</v>
      </c>
      <c r="U73" s="26">
        <f>SUM(U68:U72)</f>
        <v>0</v>
      </c>
      <c r="V73" s="26">
        <f>T73+U73</f>
        <v>-1115.0999999999999</v>
      </c>
      <c r="X73" s="26">
        <f>SUM(X68:X72)</f>
        <v>-2113.7200000000003</v>
      </c>
      <c r="Y73" s="26">
        <f>SUM(Y68:Y72)</f>
        <v>2113.7200000000003</v>
      </c>
      <c r="Z73" s="26">
        <f t="shared" si="46"/>
        <v>0</v>
      </c>
    </row>
    <row r="74" spans="2:26" x14ac:dyDescent="0.25">
      <c r="L74" s="1"/>
      <c r="M74" s="1"/>
      <c r="N74" s="1"/>
      <c r="P74" s="1"/>
      <c r="Q74" s="1"/>
      <c r="R74" s="1"/>
    </row>
    <row r="75" spans="2:26" x14ac:dyDescent="0.25">
      <c r="B75" s="2" t="s">
        <v>448</v>
      </c>
      <c r="C75" s="2"/>
      <c r="D75" s="8">
        <f>D7+D15+D33+D37+D65+D73</f>
        <v>265900</v>
      </c>
      <c r="E75" s="8">
        <f>E7+E15+E33+E37+E65+E73</f>
        <v>444359.03</v>
      </c>
      <c r="F75" s="8">
        <f>D75+E75</f>
        <v>710259.03</v>
      </c>
      <c r="H75" s="8">
        <f>H7+H15+H33+H37+H65+H73</f>
        <v>149540.02000000002</v>
      </c>
      <c r="I75" s="8">
        <f>I7+I15+I33+I37+I65+I73</f>
        <v>127674.91000000002</v>
      </c>
      <c r="J75" s="8">
        <f>H75+I75</f>
        <v>277214.93000000005</v>
      </c>
      <c r="L75" s="8">
        <f>L7+L15+L33+L37+L65+L73</f>
        <v>32232.000000000015</v>
      </c>
      <c r="M75" s="8">
        <f>M7+M15+M33+M37+M65+M73</f>
        <v>46959.260000000024</v>
      </c>
      <c r="N75" s="8">
        <f>L75+M75</f>
        <v>79191.260000000038</v>
      </c>
      <c r="P75" s="8">
        <f>P7+P15+P33+P37+P65+P73</f>
        <v>424203.44999999995</v>
      </c>
      <c r="Q75" s="8">
        <f>Q7+Q15+Q33+Q37+Q65+Q73</f>
        <v>436645.07999999996</v>
      </c>
      <c r="R75" s="8">
        <f>P75+Q75</f>
        <v>860848.52999999991</v>
      </c>
      <c r="T75" s="8">
        <f>T7+T15+T33+T37+T65+T73</f>
        <v>0</v>
      </c>
      <c r="U75" s="8">
        <f>U7+U15+U33+U37+U65+U73</f>
        <v>0</v>
      </c>
      <c r="V75" s="8">
        <f>T75+U75</f>
        <v>0</v>
      </c>
      <c r="X75" s="8">
        <f>D75+H75+L75+P75+T75</f>
        <v>871875.47</v>
      </c>
      <c r="Y75" s="8">
        <f>E75+I75+M75+Q75+U75</f>
        <v>1055638.28</v>
      </c>
      <c r="Z75" s="8">
        <f>X75+Y75</f>
        <v>1927513.75</v>
      </c>
    </row>
    <row r="76" spans="2:26" x14ac:dyDescent="0.25">
      <c r="P76" s="1"/>
    </row>
    <row r="77" spans="2:26" x14ac:dyDescent="0.25">
      <c r="B77" s="5" t="s">
        <v>449</v>
      </c>
      <c r="C77" s="5"/>
      <c r="L77" s="1"/>
      <c r="M77" s="1"/>
      <c r="N77" s="1"/>
      <c r="P77" s="1"/>
      <c r="Q77" s="1"/>
    </row>
    <row r="78" spans="2:26" x14ac:dyDescent="0.25">
      <c r="B78" s="2" t="s">
        <v>244</v>
      </c>
      <c r="C78" s="2"/>
      <c r="D78" s="9">
        <v>0</v>
      </c>
      <c r="E78" s="9">
        <v>0</v>
      </c>
      <c r="F78" s="8">
        <f>D78+E78</f>
        <v>0</v>
      </c>
      <c r="H78" s="9">
        <v>0</v>
      </c>
      <c r="I78" s="9">
        <v>0</v>
      </c>
      <c r="J78" s="12">
        <f>H78+I78</f>
        <v>0</v>
      </c>
      <c r="L78" s="9">
        <v>0</v>
      </c>
      <c r="M78" s="9">
        <v>0</v>
      </c>
      <c r="N78" s="8">
        <f>L78+M78</f>
        <v>0</v>
      </c>
      <c r="P78" s="9">
        <v>0</v>
      </c>
      <c r="Q78" s="9">
        <v>0</v>
      </c>
      <c r="R78" s="8">
        <f>P78+Q78</f>
        <v>0</v>
      </c>
      <c r="T78" s="9">
        <v>0</v>
      </c>
      <c r="U78" s="9">
        <v>0</v>
      </c>
      <c r="V78" s="8">
        <f>T78+U78</f>
        <v>0</v>
      </c>
      <c r="X78" s="8">
        <f t="shared" ref="X78:Y80" si="51">D78+H78+L78+P78+T78</f>
        <v>0</v>
      </c>
      <c r="Y78" s="8">
        <f t="shared" si="51"/>
        <v>0</v>
      </c>
      <c r="Z78" s="8">
        <f>X78+Y78</f>
        <v>0</v>
      </c>
    </row>
    <row r="79" spans="2:26" ht="15.75" thickBot="1" x14ac:dyDescent="0.3">
      <c r="B79" s="2" t="s">
        <v>848</v>
      </c>
      <c r="C79" s="6" t="s">
        <v>672</v>
      </c>
      <c r="L79" s="14">
        <v>8009</v>
      </c>
      <c r="M79" s="8">
        <f>-L79</f>
        <v>-8009</v>
      </c>
      <c r="N79" s="8">
        <f>L79+M79</f>
        <v>0</v>
      </c>
      <c r="P79" s="14">
        <v>0</v>
      </c>
      <c r="Q79" s="8">
        <f>-P79</f>
        <v>0</v>
      </c>
      <c r="R79" s="8">
        <f>P79+Q79</f>
        <v>0</v>
      </c>
      <c r="X79" s="8">
        <f t="shared" si="51"/>
        <v>8009</v>
      </c>
      <c r="Y79" s="8">
        <f t="shared" si="51"/>
        <v>-8009</v>
      </c>
      <c r="Z79" s="8">
        <f>X79+Y79</f>
        <v>0</v>
      </c>
    </row>
    <row r="80" spans="2:26" x14ac:dyDescent="0.25">
      <c r="B80" s="2" t="s">
        <v>450</v>
      </c>
      <c r="C80" s="2"/>
      <c r="D80" s="26">
        <f>SUM(D78:D79)</f>
        <v>0</v>
      </c>
      <c r="E80" s="26">
        <f>SUM(E78:E79)</f>
        <v>0</v>
      </c>
      <c r="F80" s="26">
        <f>D80+E80</f>
        <v>0</v>
      </c>
      <c r="H80" s="26">
        <f>SUM(H78:H79)</f>
        <v>0</v>
      </c>
      <c r="I80" s="26">
        <f>SUM(I78:I79)</f>
        <v>0</v>
      </c>
      <c r="J80" s="26">
        <f>H80+I80</f>
        <v>0</v>
      </c>
      <c r="L80" s="26">
        <f>SUM(L78:L79)</f>
        <v>8009</v>
      </c>
      <c r="M80" s="26">
        <f>SUM(M78:M79)</f>
        <v>-8009</v>
      </c>
      <c r="N80" s="26">
        <f>L80+M80</f>
        <v>0</v>
      </c>
      <c r="P80" s="26">
        <f>SUM(P78:P79)</f>
        <v>0</v>
      </c>
      <c r="Q80" s="26">
        <f>SUM(Q78:Q79)</f>
        <v>0</v>
      </c>
      <c r="R80" s="26">
        <f>P80+Q80</f>
        <v>0</v>
      </c>
      <c r="S80" s="1"/>
      <c r="T80" s="26">
        <f>SUM(T78:T79)</f>
        <v>0</v>
      </c>
      <c r="U80" s="26">
        <f>SUM(U78:U79)</f>
        <v>0</v>
      </c>
      <c r="V80" s="26">
        <f>T80+U80</f>
        <v>0</v>
      </c>
      <c r="X80" s="26">
        <f t="shared" si="51"/>
        <v>8009</v>
      </c>
      <c r="Y80" s="26">
        <f t="shared" si="51"/>
        <v>-8009</v>
      </c>
      <c r="Z80" s="26">
        <f>X80+Y80</f>
        <v>0</v>
      </c>
    </row>
    <row r="81" spans="1:26" x14ac:dyDescent="0.25">
      <c r="B81" s="2"/>
      <c r="C81" s="2"/>
    </row>
    <row r="82" spans="1:26" ht="15.75" thickBot="1" x14ac:dyDescent="0.3">
      <c r="B82" s="2" t="s">
        <v>451</v>
      </c>
      <c r="C82" s="2"/>
      <c r="D82" s="17">
        <f>ROUND(D75+D80,2)</f>
        <v>265900</v>
      </c>
      <c r="E82" s="17">
        <f>ROUND(E75+E80,2)</f>
        <v>444359.03</v>
      </c>
      <c r="F82" s="17">
        <f>D82+E82</f>
        <v>710259.03</v>
      </c>
      <c r="H82" s="17">
        <f>ROUND(H75+H80,2)</f>
        <v>149540.01999999999</v>
      </c>
      <c r="I82" s="17">
        <f>ROUND(I75+I80,2)</f>
        <v>127674.91</v>
      </c>
      <c r="J82" s="17">
        <f>H82+I82</f>
        <v>277214.93</v>
      </c>
      <c r="L82" s="17">
        <f>ROUND(L75+L80,2)</f>
        <v>40241</v>
      </c>
      <c r="M82" s="17">
        <f>ROUND(M75+M80,2)</f>
        <v>38950.26</v>
      </c>
      <c r="N82" s="17">
        <f>L82+M82</f>
        <v>79191.260000000009</v>
      </c>
      <c r="P82" s="17">
        <f>ROUND(P75+P80,2)</f>
        <v>424203.45</v>
      </c>
      <c r="Q82" s="17">
        <f>ROUND(Q75+Q80,2)</f>
        <v>436645.08</v>
      </c>
      <c r="R82" s="17">
        <f>P82+Q82</f>
        <v>860848.53</v>
      </c>
      <c r="T82" s="17">
        <f>ROUND(T75+T80,2)</f>
        <v>0</v>
      </c>
      <c r="U82" s="17">
        <f>ROUND(U75+U80,2)</f>
        <v>0</v>
      </c>
      <c r="V82" s="17">
        <f>T82+U82</f>
        <v>0</v>
      </c>
      <c r="X82" s="17">
        <f>D82+H82+L82+P82+T82</f>
        <v>879884.47</v>
      </c>
      <c r="Y82" s="17">
        <f>E82+I82+M82+Q82+U82</f>
        <v>1047629.28</v>
      </c>
      <c r="Z82" s="17">
        <f>X82+Y82</f>
        <v>1927513.75</v>
      </c>
    </row>
    <row r="83" spans="1:26" ht="15.75" thickTop="1" x14ac:dyDescent="0.25">
      <c r="B83" s="2"/>
      <c r="C83" s="2"/>
      <c r="R83" s="1"/>
    </row>
    <row r="84" spans="1:26" x14ac:dyDescent="0.25">
      <c r="B84" s="2"/>
      <c r="C84" s="2"/>
    </row>
    <row r="85" spans="1:26" x14ac:dyDescent="0.25">
      <c r="A85" s="35" t="s">
        <v>54</v>
      </c>
      <c r="B85" s="35"/>
      <c r="C85" s="19"/>
    </row>
    <row r="87" spans="1:26" x14ac:dyDescent="0.25">
      <c r="B87" s="5" t="s">
        <v>452</v>
      </c>
      <c r="C87" s="5"/>
      <c r="T87" s="1"/>
    </row>
    <row r="88" spans="1:26" x14ac:dyDescent="0.25">
      <c r="B88" s="2" t="s">
        <v>712</v>
      </c>
      <c r="C88" s="2"/>
      <c r="D88" s="9">
        <v>0</v>
      </c>
      <c r="E88" s="9">
        <f>ROUND(850000/10,2)</f>
        <v>85000</v>
      </c>
      <c r="F88" s="8">
        <f>D88+E88</f>
        <v>85000</v>
      </c>
      <c r="H88" s="9">
        <v>0</v>
      </c>
      <c r="I88" s="9">
        <f>ROUND(850000/10,2)</f>
        <v>85000</v>
      </c>
      <c r="J88" s="8">
        <f>H88+I88</f>
        <v>85000</v>
      </c>
      <c r="L88" s="9">
        <v>0</v>
      </c>
      <c r="M88" s="9">
        <f>ROUND(850000/10,2)</f>
        <v>85000</v>
      </c>
      <c r="N88" s="8">
        <f>L88+M88</f>
        <v>85000</v>
      </c>
      <c r="P88" s="9">
        <v>0</v>
      </c>
      <c r="Q88" s="9">
        <f>850000-E88-I88-M88</f>
        <v>595000</v>
      </c>
      <c r="R88" s="8">
        <f>P88+Q88</f>
        <v>595000</v>
      </c>
      <c r="T88" s="1"/>
      <c r="U88" s="1"/>
      <c r="V88" s="1"/>
      <c r="X88" s="8">
        <f t="shared" ref="X88:Z91" si="52">D88+H88+L88+P88+T88</f>
        <v>0</v>
      </c>
      <c r="Y88" s="8">
        <f t="shared" si="52"/>
        <v>850000</v>
      </c>
      <c r="Z88" s="8">
        <f t="shared" si="52"/>
        <v>850000</v>
      </c>
    </row>
    <row r="89" spans="1:26" x14ac:dyDescent="0.25">
      <c r="B89" s="2" t="s">
        <v>453</v>
      </c>
      <c r="C89" s="2"/>
      <c r="D89" s="9">
        <v>0</v>
      </c>
      <c r="E89" s="9">
        <f>ROUND(850000*0.25/10,2)</f>
        <v>21250</v>
      </c>
      <c r="F89" s="8">
        <f>D89+E89</f>
        <v>21250</v>
      </c>
      <c r="H89" s="9">
        <v>0</v>
      </c>
      <c r="I89" s="9">
        <f>ROUND(850000*0.25/10,2)</f>
        <v>21250</v>
      </c>
      <c r="J89" s="8">
        <f>H89+I89</f>
        <v>21250</v>
      </c>
      <c r="L89" s="9">
        <v>0</v>
      </c>
      <c r="M89" s="9">
        <f>ROUND(850000*0.25/10,2)</f>
        <v>21250</v>
      </c>
      <c r="N89" s="8">
        <f>L89+M89</f>
        <v>21250</v>
      </c>
      <c r="P89" s="9">
        <v>0</v>
      </c>
      <c r="Q89" s="9">
        <f>850000*0.25-E89-I89-M89</f>
        <v>148750</v>
      </c>
      <c r="R89" s="8">
        <f>P89+Q89</f>
        <v>148750</v>
      </c>
      <c r="X89" s="8">
        <f t="shared" si="52"/>
        <v>0</v>
      </c>
      <c r="Y89" s="8">
        <f t="shared" si="52"/>
        <v>212500</v>
      </c>
      <c r="Z89" s="8">
        <f t="shared" si="52"/>
        <v>212500</v>
      </c>
    </row>
    <row r="90" spans="1:26" ht="15.75" thickBot="1" x14ac:dyDescent="0.3">
      <c r="B90" s="2" t="s">
        <v>454</v>
      </c>
      <c r="C90" s="2"/>
      <c r="D90" s="14">
        <v>0</v>
      </c>
      <c r="E90" s="14">
        <v>741</v>
      </c>
      <c r="F90" s="15">
        <f>D90+E90</f>
        <v>741</v>
      </c>
      <c r="H90" s="14">
        <v>0</v>
      </c>
      <c r="I90" s="14">
        <v>741</v>
      </c>
      <c r="J90" s="15">
        <f>H90+I90</f>
        <v>741</v>
      </c>
      <c r="L90" s="14">
        <v>0</v>
      </c>
      <c r="M90" s="14">
        <v>741</v>
      </c>
      <c r="N90" s="15">
        <f>L90+M90</f>
        <v>741</v>
      </c>
      <c r="P90" s="14">
        <v>0</v>
      </c>
      <c r="Q90" s="14">
        <f>7410-E90-I90-M90</f>
        <v>5187</v>
      </c>
      <c r="R90" s="15">
        <f>P90+Q90</f>
        <v>5187</v>
      </c>
      <c r="X90" s="15">
        <f t="shared" si="52"/>
        <v>0</v>
      </c>
      <c r="Y90" s="15">
        <f t="shared" si="52"/>
        <v>7410</v>
      </c>
      <c r="Z90" s="15">
        <f t="shared" si="52"/>
        <v>7410</v>
      </c>
    </row>
    <row r="91" spans="1:26" x14ac:dyDescent="0.25">
      <c r="B91" s="2" t="s">
        <v>455</v>
      </c>
      <c r="C91" s="2"/>
      <c r="D91" s="26">
        <f>SUM(D88:D90)</f>
        <v>0</v>
      </c>
      <c r="E91" s="26">
        <f>SUM(E88:E90)</f>
        <v>106991</v>
      </c>
      <c r="F91" s="26">
        <f>D91+E91</f>
        <v>106991</v>
      </c>
      <c r="H91" s="26">
        <f>SUM(H88:H90)</f>
        <v>0</v>
      </c>
      <c r="I91" s="26">
        <f>SUM(I88:I90)</f>
        <v>106991</v>
      </c>
      <c r="J91" s="26">
        <f>H91+I91</f>
        <v>106991</v>
      </c>
      <c r="L91" s="26">
        <f>SUM(L88:L90)</f>
        <v>0</v>
      </c>
      <c r="M91" s="26">
        <f>SUM(M88:M90)</f>
        <v>106991</v>
      </c>
      <c r="N91" s="26">
        <f>L91+M91</f>
        <v>106991</v>
      </c>
      <c r="P91" s="26">
        <f>SUM(P88:P90)</f>
        <v>0</v>
      </c>
      <c r="Q91" s="26">
        <f>SUM(Q88:Q90)</f>
        <v>748937</v>
      </c>
      <c r="R91" s="26">
        <f>P91+Q91</f>
        <v>748937</v>
      </c>
      <c r="S91" s="1"/>
      <c r="T91" s="26">
        <f>SUM(T88:T90)</f>
        <v>0</v>
      </c>
      <c r="U91" s="26">
        <f>SUM(U88:U90)</f>
        <v>0</v>
      </c>
      <c r="V91" s="26">
        <f>T91+U91</f>
        <v>0</v>
      </c>
      <c r="X91" s="26">
        <f t="shared" si="52"/>
        <v>0</v>
      </c>
      <c r="Y91" s="26">
        <f t="shared" si="52"/>
        <v>1069910</v>
      </c>
      <c r="Z91" s="26">
        <f t="shared" si="52"/>
        <v>1069910</v>
      </c>
    </row>
    <row r="92" spans="1:26" x14ac:dyDescent="0.25">
      <c r="B92" s="2"/>
      <c r="C92" s="2"/>
    </row>
    <row r="93" spans="1:26" x14ac:dyDescent="0.25">
      <c r="B93" s="5" t="s">
        <v>687</v>
      </c>
      <c r="C93" s="5"/>
      <c r="T93" s="1"/>
    </row>
    <row r="94" spans="1:26" x14ac:dyDescent="0.25">
      <c r="B94" s="2" t="s">
        <v>7</v>
      </c>
      <c r="C94" s="5"/>
      <c r="E94" s="1"/>
      <c r="F94" s="1"/>
      <c r="H94" s="1"/>
      <c r="I94" s="1"/>
      <c r="J94" s="1"/>
      <c r="L94" s="1"/>
      <c r="M94" s="1"/>
      <c r="N94" s="1"/>
      <c r="P94" s="8">
        <v>0</v>
      </c>
      <c r="Q94" s="8">
        <f>-T94</f>
        <v>-15500</v>
      </c>
      <c r="R94" s="8">
        <f>P94+Q94</f>
        <v>-15500</v>
      </c>
      <c r="T94" s="9">
        <v>15500</v>
      </c>
      <c r="U94" s="9">
        <v>0</v>
      </c>
      <c r="V94" s="8">
        <f>T94+U94</f>
        <v>15500</v>
      </c>
      <c r="X94" s="8">
        <f t="shared" ref="X94:Z104" si="53">D94+H94+L94+P94+T94</f>
        <v>15500</v>
      </c>
      <c r="Y94" s="8">
        <f t="shared" si="53"/>
        <v>-15500</v>
      </c>
      <c r="Z94" s="8">
        <f t="shared" si="53"/>
        <v>0</v>
      </c>
    </row>
    <row r="95" spans="1:26" x14ac:dyDescent="0.25">
      <c r="B95" s="2" t="s">
        <v>52</v>
      </c>
      <c r="C95" s="5"/>
      <c r="E95" s="1"/>
      <c r="F95" s="1"/>
      <c r="H95" s="1"/>
      <c r="I95" s="1"/>
      <c r="J95" s="1"/>
      <c r="M95" s="1"/>
      <c r="N95" s="1"/>
      <c r="P95" s="8">
        <v>0</v>
      </c>
      <c r="Q95" s="8">
        <f>-T95</f>
        <v>-5000</v>
      </c>
      <c r="R95" s="8">
        <f>P95+Q95</f>
        <v>-5000</v>
      </c>
      <c r="T95" s="9">
        <f>3500+1500</f>
        <v>5000</v>
      </c>
      <c r="U95" s="9">
        <v>0</v>
      </c>
      <c r="V95" s="8">
        <f>T95+U95</f>
        <v>5000</v>
      </c>
      <c r="X95" s="8">
        <f t="shared" si="53"/>
        <v>5000</v>
      </c>
      <c r="Y95" s="8">
        <f t="shared" si="53"/>
        <v>-5000</v>
      </c>
      <c r="Z95" s="8">
        <f t="shared" si="53"/>
        <v>0</v>
      </c>
    </row>
    <row r="96" spans="1:26" x14ac:dyDescent="0.25">
      <c r="B96" s="2" t="s">
        <v>686</v>
      </c>
      <c r="C96" s="6" t="s">
        <v>647</v>
      </c>
      <c r="E96" s="1"/>
      <c r="F96" s="1"/>
      <c r="H96" s="1"/>
      <c r="I96" s="1"/>
      <c r="J96" s="1"/>
      <c r="M96" s="1"/>
      <c r="N96" s="1"/>
      <c r="P96" s="9">
        <f>171500*0</f>
        <v>0</v>
      </c>
      <c r="Q96" s="8">
        <f>-P96</f>
        <v>0</v>
      </c>
      <c r="R96" s="8">
        <f>P96+Q96</f>
        <v>0</v>
      </c>
      <c r="X96" s="8">
        <f t="shared" si="53"/>
        <v>0</v>
      </c>
      <c r="Y96" s="8">
        <f t="shared" si="53"/>
        <v>0</v>
      </c>
      <c r="Z96" s="8">
        <f t="shared" si="53"/>
        <v>0</v>
      </c>
    </row>
    <row r="97" spans="2:26" x14ac:dyDescent="0.25">
      <c r="B97" s="2" t="s">
        <v>848</v>
      </c>
      <c r="C97" s="6" t="s">
        <v>672</v>
      </c>
      <c r="H97" s="1"/>
      <c r="I97" s="1"/>
      <c r="J97" s="1"/>
      <c r="L97" s="9">
        <v>115000</v>
      </c>
      <c r="M97" s="8">
        <f>-L97</f>
        <v>-115000</v>
      </c>
      <c r="N97" s="8">
        <f>L97+M97</f>
        <v>0</v>
      </c>
      <c r="P97" s="9">
        <v>285000</v>
      </c>
      <c r="Q97" s="8">
        <f>-P97</f>
        <v>-285000</v>
      </c>
      <c r="R97" s="8">
        <f>P97+Q97</f>
        <v>0</v>
      </c>
      <c r="X97" s="8">
        <f t="shared" si="53"/>
        <v>400000</v>
      </c>
      <c r="Y97" s="8">
        <f t="shared" si="53"/>
        <v>-400000</v>
      </c>
      <c r="Z97" s="8">
        <f t="shared" si="53"/>
        <v>0</v>
      </c>
    </row>
    <row r="98" spans="2:26" x14ac:dyDescent="0.25">
      <c r="B98" s="2" t="s">
        <v>673</v>
      </c>
      <c r="C98" s="6" t="s">
        <v>674</v>
      </c>
      <c r="H98" s="9">
        <v>6000</v>
      </c>
      <c r="I98" s="8">
        <f>-H98</f>
        <v>-6000</v>
      </c>
      <c r="J98" s="8">
        <f>H98+I98</f>
        <v>0</v>
      </c>
      <c r="L98" s="1"/>
      <c r="M98" s="1"/>
      <c r="X98" s="8">
        <f t="shared" si="53"/>
        <v>6000</v>
      </c>
      <c r="Y98" s="8">
        <f t="shared" si="53"/>
        <v>-6000</v>
      </c>
      <c r="Z98" s="8">
        <f t="shared" si="53"/>
        <v>0</v>
      </c>
    </row>
    <row r="99" spans="2:26" x14ac:dyDescent="0.25">
      <c r="B99" s="2" t="s">
        <v>675</v>
      </c>
      <c r="C99" s="6" t="s">
        <v>676</v>
      </c>
      <c r="L99" s="1"/>
      <c r="M99" s="1"/>
      <c r="P99" s="9">
        <v>60154</v>
      </c>
      <c r="Q99" s="8">
        <f>-P99</f>
        <v>-60154</v>
      </c>
      <c r="R99" s="8">
        <f>P99+Q99</f>
        <v>0</v>
      </c>
      <c r="X99" s="8">
        <f t="shared" si="53"/>
        <v>60154</v>
      </c>
      <c r="Y99" s="8">
        <f t="shared" si="53"/>
        <v>-60154</v>
      </c>
      <c r="Z99" s="8">
        <f t="shared" si="53"/>
        <v>0</v>
      </c>
    </row>
    <row r="100" spans="2:26" x14ac:dyDescent="0.25">
      <c r="B100" s="2" t="s">
        <v>677</v>
      </c>
      <c r="C100" s="6" t="s">
        <v>678</v>
      </c>
      <c r="H100" s="9">
        <v>80000</v>
      </c>
      <c r="I100" s="8">
        <f>-H100</f>
        <v>-80000</v>
      </c>
      <c r="J100" s="8">
        <f>H100+I100</f>
        <v>0</v>
      </c>
      <c r="L100" s="1"/>
      <c r="M100" s="1"/>
      <c r="X100" s="8">
        <f t="shared" si="53"/>
        <v>80000</v>
      </c>
      <c r="Y100" s="8">
        <f t="shared" si="53"/>
        <v>-80000</v>
      </c>
      <c r="Z100" s="8">
        <f t="shared" si="53"/>
        <v>0</v>
      </c>
    </row>
    <row r="101" spans="2:26" x14ac:dyDescent="0.25">
      <c r="B101" s="2" t="s">
        <v>850</v>
      </c>
      <c r="C101" s="6" t="s">
        <v>679</v>
      </c>
      <c r="D101" s="9">
        <v>53543</v>
      </c>
      <c r="E101" s="8">
        <f>-D101</f>
        <v>-53543</v>
      </c>
      <c r="F101" s="8">
        <f>D101+E101</f>
        <v>0</v>
      </c>
      <c r="H101" s="1"/>
      <c r="I101" s="1"/>
      <c r="J101" s="1"/>
      <c r="L101" s="1"/>
      <c r="M101" s="1"/>
      <c r="X101" s="8">
        <f t="shared" si="53"/>
        <v>53543</v>
      </c>
      <c r="Y101" s="8">
        <f t="shared" si="53"/>
        <v>-53543</v>
      </c>
      <c r="Z101" s="8">
        <f t="shared" si="53"/>
        <v>0</v>
      </c>
    </row>
    <row r="102" spans="2:26" x14ac:dyDescent="0.25">
      <c r="B102" s="2" t="s">
        <v>680</v>
      </c>
      <c r="C102" s="6" t="s">
        <v>681</v>
      </c>
      <c r="L102" s="1"/>
      <c r="M102" s="1"/>
      <c r="P102" s="9">
        <v>39545</v>
      </c>
      <c r="Q102" s="8">
        <f>-P102</f>
        <v>-39545</v>
      </c>
      <c r="R102" s="8">
        <f>P102+Q102</f>
        <v>0</v>
      </c>
      <c r="X102" s="8">
        <f t="shared" si="53"/>
        <v>39545</v>
      </c>
      <c r="Y102" s="8">
        <f t="shared" si="53"/>
        <v>-39545</v>
      </c>
      <c r="Z102" s="8">
        <f t="shared" si="53"/>
        <v>0</v>
      </c>
    </row>
    <row r="103" spans="2:26" x14ac:dyDescent="0.25">
      <c r="B103" s="2" t="s">
        <v>682</v>
      </c>
      <c r="C103" s="6" t="s">
        <v>683</v>
      </c>
      <c r="L103" s="1"/>
      <c r="M103" s="1"/>
      <c r="P103" s="9">
        <v>146532</v>
      </c>
      <c r="Q103" s="8">
        <f>-P103</f>
        <v>-146532</v>
      </c>
      <c r="R103" s="8">
        <f>P103+Q103</f>
        <v>0</v>
      </c>
      <c r="X103" s="8">
        <f t="shared" si="53"/>
        <v>146532</v>
      </c>
      <c r="Y103" s="8">
        <f t="shared" si="53"/>
        <v>-146532</v>
      </c>
      <c r="Z103" s="8">
        <f t="shared" si="53"/>
        <v>0</v>
      </c>
    </row>
    <row r="104" spans="2:26" ht="15.75" thickBot="1" x14ac:dyDescent="0.3">
      <c r="B104" s="2" t="s">
        <v>684</v>
      </c>
      <c r="C104" s="6" t="s">
        <v>685</v>
      </c>
      <c r="L104" s="1"/>
      <c r="M104" s="1"/>
      <c r="P104" s="9">
        <v>8835</v>
      </c>
      <c r="Q104" s="8">
        <f>-P104</f>
        <v>-8835</v>
      </c>
      <c r="R104" s="8">
        <f>P104+Q104</f>
        <v>0</v>
      </c>
      <c r="X104" s="8">
        <f t="shared" si="53"/>
        <v>8835</v>
      </c>
      <c r="Y104" s="8">
        <f t="shared" si="53"/>
        <v>-8835</v>
      </c>
      <c r="Z104" s="8">
        <f t="shared" si="53"/>
        <v>0</v>
      </c>
    </row>
    <row r="105" spans="2:26" x14ac:dyDescent="0.25">
      <c r="B105" s="2" t="s">
        <v>456</v>
      </c>
      <c r="C105" s="2"/>
      <c r="D105" s="26">
        <f>SUM(D94:D104)</f>
        <v>53543</v>
      </c>
      <c r="E105" s="26">
        <f>SUM(E94:E104)</f>
        <v>-53543</v>
      </c>
      <c r="F105" s="26">
        <f>D105+E105</f>
        <v>0</v>
      </c>
      <c r="H105" s="26">
        <f>SUM(H94:H104)</f>
        <v>86000</v>
      </c>
      <c r="I105" s="26">
        <f>SUM(I94:I104)</f>
        <v>-86000</v>
      </c>
      <c r="J105" s="26">
        <f>H105+I105</f>
        <v>0</v>
      </c>
      <c r="L105" s="26">
        <f>SUM(L94:L104)</f>
        <v>115000</v>
      </c>
      <c r="M105" s="26">
        <f>SUM(M94:M104)</f>
        <v>-115000</v>
      </c>
      <c r="N105" s="26">
        <f>L105+M105</f>
        <v>0</v>
      </c>
      <c r="P105" s="26">
        <f>SUM(P94:P104)</f>
        <v>540066</v>
      </c>
      <c r="Q105" s="26">
        <f>SUM(Q94:Q104)</f>
        <v>-560566</v>
      </c>
      <c r="R105" s="26">
        <f>P105+Q105</f>
        <v>-20500</v>
      </c>
      <c r="S105" s="1"/>
      <c r="T105" s="26">
        <f>SUM(T94:T104)</f>
        <v>20500</v>
      </c>
      <c r="U105" s="26">
        <f>SUM(U94:U104)</f>
        <v>0</v>
      </c>
      <c r="V105" s="26">
        <f>T105+U105</f>
        <v>20500</v>
      </c>
      <c r="X105" s="26">
        <f t="shared" ref="X105:Z105" si="54">D105+H105+L105+P105+T105</f>
        <v>815109</v>
      </c>
      <c r="Y105" s="26">
        <f t="shared" si="54"/>
        <v>-815109</v>
      </c>
      <c r="Z105" s="26">
        <f t="shared" si="54"/>
        <v>0</v>
      </c>
    </row>
    <row r="106" spans="2:26" x14ac:dyDescent="0.25">
      <c r="B106" s="2"/>
      <c r="C106" s="2"/>
    </row>
    <row r="107" spans="2:26" x14ac:dyDescent="0.25">
      <c r="B107" s="2" t="s">
        <v>457</v>
      </c>
      <c r="C107" s="2"/>
      <c r="D107" s="8">
        <f>D91+D105</f>
        <v>53543</v>
      </c>
      <c r="E107" s="8">
        <f>E91+E105</f>
        <v>53448</v>
      </c>
      <c r="F107" s="8">
        <f>D107+E107</f>
        <v>106991</v>
      </c>
      <c r="H107" s="8">
        <f>H91+H105</f>
        <v>86000</v>
      </c>
      <c r="I107" s="8">
        <f>I91+I105</f>
        <v>20991</v>
      </c>
      <c r="J107" s="8">
        <f>H107+I107</f>
        <v>106991</v>
      </c>
      <c r="L107" s="8">
        <f>L91+L105</f>
        <v>115000</v>
      </c>
      <c r="M107" s="8">
        <f>M91+M105</f>
        <v>-8009</v>
      </c>
      <c r="N107" s="8">
        <f>L107+M107</f>
        <v>106991</v>
      </c>
      <c r="P107" s="8">
        <f>P91+P105</f>
        <v>540066</v>
      </c>
      <c r="Q107" s="8">
        <f>Q91+Q105</f>
        <v>188371</v>
      </c>
      <c r="R107" s="8">
        <f>P107+Q107</f>
        <v>728437</v>
      </c>
      <c r="T107" s="8">
        <f>T91+T105</f>
        <v>20500</v>
      </c>
      <c r="U107" s="8">
        <f>U91+U105</f>
        <v>0</v>
      </c>
      <c r="V107" s="8">
        <f>T107+U107</f>
        <v>20500</v>
      </c>
      <c r="X107" s="8">
        <f>D107+H107+L107+P107+T107</f>
        <v>815109</v>
      </c>
      <c r="Y107" s="8">
        <f>E107+I107+M107+Q107+U107</f>
        <v>254801</v>
      </c>
      <c r="Z107" s="8">
        <f>F107+J107+N107+R107+V107</f>
        <v>1069910</v>
      </c>
    </row>
    <row r="108" spans="2:26" x14ac:dyDescent="0.25">
      <c r="B108" s="2"/>
      <c r="C108" s="2"/>
    </row>
    <row r="110" spans="2:26" x14ac:dyDescent="0.25">
      <c r="D110" t="s">
        <v>72</v>
      </c>
    </row>
    <row r="111" spans="2:26" x14ac:dyDescent="0.25">
      <c r="D111" s="2"/>
    </row>
    <row r="112" spans="2:26" x14ac:dyDescent="0.25">
      <c r="D112" s="2" t="s">
        <v>58</v>
      </c>
      <c r="E112" t="str">
        <f>"An encumbrance of " &amp; TEXT(-M107,"$#,#.00")  &amp; " will need to be made to the Open Space Reserve to the " &amp; TEXT(L97,"$#,#.00") &amp; " Conservation Fund FY23 to insure no shortfall occurs in the Open Space Reserve account in FY2022"</f>
        <v>An encumbrance of $8,009.00 will need to be made to the Open Space Reserve to the $115,000.00 Conservation Fund FY23 to insure no shortfall occurs in the Open Space Reserve account in FY2022</v>
      </c>
    </row>
    <row r="113" spans="4:18" x14ac:dyDescent="0.25">
      <c r="D113" s="2" t="s">
        <v>60</v>
      </c>
      <c r="E113" t="s">
        <v>849</v>
      </c>
    </row>
    <row r="116" spans="4:18" x14ac:dyDescent="0.25">
      <c r="D116" t="s">
        <v>689</v>
      </c>
    </row>
    <row r="118" spans="4:18" x14ac:dyDescent="0.25">
      <c r="D118" s="36" t="s">
        <v>3</v>
      </c>
      <c r="E118" s="36"/>
      <c r="F118" s="36"/>
      <c r="H118" s="36" t="s">
        <v>4</v>
      </c>
      <c r="I118" s="36"/>
      <c r="J118" s="36"/>
      <c r="L118" s="36" t="s">
        <v>2</v>
      </c>
      <c r="M118" s="36"/>
      <c r="N118" s="36"/>
      <c r="P118" s="36" t="s">
        <v>13</v>
      </c>
      <c r="Q118" s="36"/>
      <c r="R118" s="36"/>
    </row>
    <row r="119" spans="4:18" x14ac:dyDescent="0.25">
      <c r="D119" s="6"/>
      <c r="E119" s="6"/>
      <c r="F119" s="6"/>
      <c r="H119" s="6"/>
      <c r="I119" s="6"/>
      <c r="J119" s="6"/>
    </row>
    <row r="120" spans="4:18" x14ac:dyDescent="0.25">
      <c r="E120" s="6" t="s">
        <v>110</v>
      </c>
      <c r="F120" s="6" t="s">
        <v>111</v>
      </c>
      <c r="I120" s="6" t="s">
        <v>110</v>
      </c>
      <c r="J120" s="6" t="s">
        <v>111</v>
      </c>
      <c r="M120" s="6" t="s">
        <v>110</v>
      </c>
      <c r="N120" s="6" t="s">
        <v>111</v>
      </c>
      <c r="Q120" s="6" t="s">
        <v>110</v>
      </c>
      <c r="R120" s="6" t="s">
        <v>111</v>
      </c>
    </row>
    <row r="121" spans="4:18" x14ac:dyDescent="0.25">
      <c r="E121" s="6"/>
      <c r="F121" s="6"/>
    </row>
    <row r="122" spans="4:18" x14ac:dyDescent="0.25">
      <c r="E122" s="2" t="s">
        <v>635</v>
      </c>
      <c r="F122" s="11">
        <v>37876</v>
      </c>
      <c r="I122" s="2" t="s">
        <v>410</v>
      </c>
      <c r="J122" s="9">
        <v>23537.38</v>
      </c>
      <c r="M122" s="2" t="s">
        <v>433</v>
      </c>
      <c r="N122" s="9">
        <v>68259</v>
      </c>
      <c r="Q122" s="2" t="s">
        <v>847</v>
      </c>
      <c r="R122" s="9">
        <v>243975</v>
      </c>
    </row>
    <row r="123" spans="4:18" x14ac:dyDescent="0.25">
      <c r="E123" s="2" t="s">
        <v>462</v>
      </c>
      <c r="F123" s="11">
        <v>200000</v>
      </c>
      <c r="I123" s="2" t="s">
        <v>306</v>
      </c>
      <c r="J123" s="9">
        <v>23927.5</v>
      </c>
      <c r="M123" s="2" t="s">
        <v>460</v>
      </c>
      <c r="N123" s="9">
        <v>1937</v>
      </c>
      <c r="Q123" s="2" t="s">
        <v>380</v>
      </c>
      <c r="R123" s="9">
        <v>9225.66</v>
      </c>
    </row>
    <row r="124" spans="4:18" x14ac:dyDescent="0.25">
      <c r="E124" s="2" t="s">
        <v>113</v>
      </c>
      <c r="F124" s="13">
        <f>SUM(F122:F123)</f>
        <v>237876</v>
      </c>
      <c r="I124" s="2" t="s">
        <v>458</v>
      </c>
      <c r="J124" s="9">
        <v>11400</v>
      </c>
      <c r="M124" s="2" t="s">
        <v>113</v>
      </c>
      <c r="N124" s="13">
        <f>SUM(N122:N123)</f>
        <v>70196</v>
      </c>
      <c r="Q124" s="2" t="s">
        <v>469</v>
      </c>
      <c r="R124" s="9">
        <v>95000</v>
      </c>
    </row>
    <row r="125" spans="4:18" x14ac:dyDescent="0.25">
      <c r="I125" s="2" t="s">
        <v>459</v>
      </c>
      <c r="J125" s="9">
        <v>621</v>
      </c>
      <c r="Q125" s="2" t="s">
        <v>382</v>
      </c>
      <c r="R125" s="9">
        <f>3272+3700</f>
        <v>6972</v>
      </c>
    </row>
    <row r="126" spans="4:18" x14ac:dyDescent="0.25">
      <c r="I126" s="2" t="s">
        <v>461</v>
      </c>
      <c r="J126" s="9">
        <v>15000</v>
      </c>
      <c r="Q126" s="2" t="s">
        <v>582</v>
      </c>
      <c r="R126" s="9">
        <v>6000</v>
      </c>
    </row>
    <row r="127" spans="4:18" x14ac:dyDescent="0.25">
      <c r="I127" s="2" t="s">
        <v>582</v>
      </c>
      <c r="J127" s="23">
        <v>19600.14</v>
      </c>
      <c r="Q127" s="2" t="s">
        <v>113</v>
      </c>
      <c r="R127" s="13">
        <f>SUM(R122:R126)</f>
        <v>361172.66000000003</v>
      </c>
    </row>
    <row r="128" spans="4:18" x14ac:dyDescent="0.25">
      <c r="I128" s="2" t="s">
        <v>113</v>
      </c>
      <c r="J128" s="13">
        <f>SUM(J122:J127)</f>
        <v>94086.02</v>
      </c>
    </row>
    <row r="129" spans="4:14" x14ac:dyDescent="0.25">
      <c r="J129" s="1"/>
    </row>
    <row r="130" spans="4:14" x14ac:dyDescent="0.25">
      <c r="D130" s="6" t="s">
        <v>118</v>
      </c>
      <c r="E130" s="1"/>
    </row>
    <row r="131" spans="4:14" x14ac:dyDescent="0.25">
      <c r="D131" s="2" t="s">
        <v>58</v>
      </c>
      <c r="E131" t="str">
        <f>"FY2023 local surtax revenue will be " &amp; TEXT(Z88,"$#,0") &amp; " or " &amp; TEXT(-Z88+Z10+Z11,"$#,0") &amp; " less that in FY2020."</f>
        <v>FY2023 local surtax revenue will be $850,000 or $13,620 less that in FY2020.</v>
      </c>
      <c r="N131" s="1"/>
    </row>
    <row r="132" spans="4:14" x14ac:dyDescent="0.25">
      <c r="D132" s="2" t="s">
        <v>60</v>
      </c>
      <c r="E132" t="str">
        <f>"FY2023 state match revenue (expected on 15 November 2022) will be " &amp; TEXT(Z89,"$#,0.00") &amp; " or " &amp; TEXT(Z89/(Z10+Z11),"0.0%") &amp; " of the FY2022 local surtax revenue"</f>
        <v>FY2023 state match revenue (expected on 15 November 2022) will be $212,500.00 or 24.6% of the FY2022 local surtax revenue</v>
      </c>
      <c r="M132" s="1"/>
    </row>
    <row r="133" spans="4:14" x14ac:dyDescent="0.25">
      <c r="D133" s="2" t="s">
        <v>109</v>
      </c>
      <c r="E133" t="str">
        <f>"FY2023 interest earned will be " &amp; TEXT(Z90,"$#,0.00")</f>
        <v>FY2023 interest earned will be $7,410.00</v>
      </c>
    </row>
    <row r="140" spans="4:14" x14ac:dyDescent="0.25">
      <c r="D140" s="2"/>
    </row>
    <row r="141" spans="4:14" x14ac:dyDescent="0.25">
      <c r="D141" s="2"/>
    </row>
  </sheetData>
  <mergeCells count="11">
    <mergeCell ref="X4:Z4"/>
    <mergeCell ref="D4:F4"/>
    <mergeCell ref="H4:J4"/>
    <mergeCell ref="L4:N4"/>
    <mergeCell ref="P4:R4"/>
    <mergeCell ref="T4:V4"/>
    <mergeCell ref="A85:B85"/>
    <mergeCell ref="D118:F118"/>
    <mergeCell ref="H118:J118"/>
    <mergeCell ref="L118:N118"/>
    <mergeCell ref="P118:R118"/>
  </mergeCells>
  <printOptions horizontalCentered="1"/>
  <pageMargins left="0.25" right="0.25" top="0.75" bottom="0.75" header="0.3" footer="0.3"/>
  <pageSetup paperSize="5" scale="54" fitToHeight="0" orientation="landscape" r:id="rId1"/>
  <headerFooter>
    <oddFooter>&amp;L&amp;F&amp;CPage &amp;P of &amp;N&amp;R8 August 2022</oddFooter>
  </headerFooter>
  <rowBreaks count="1" manualBreakCount="1">
    <brk id="8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Z138"/>
  <sheetViews>
    <sheetView zoomScaleNormal="100" workbookViewId="0">
      <pane xSplit="2" ySplit="6" topLeftCell="C79" activePane="bottomRight" state="frozen"/>
      <selection pane="topRight"/>
      <selection pane="bottomLeft"/>
      <selection pane="bottomRight" activeCell="A97" sqref="A97"/>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8" width="12.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651</v>
      </c>
      <c r="R2" s="1"/>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422</v>
      </c>
      <c r="C7" s="2"/>
      <c r="D7" s="8">
        <f>'FY20'!D62</f>
        <v>0</v>
      </c>
      <c r="E7" s="8">
        <f>'FY20'!E62</f>
        <v>562123.44999999995</v>
      </c>
      <c r="F7" s="8">
        <f>D7+E7</f>
        <v>562123.44999999995</v>
      </c>
      <c r="H7" s="8">
        <f>'FY20'!H62</f>
        <v>159667.91</v>
      </c>
      <c r="I7" s="8">
        <f>'FY20'!I62</f>
        <v>55221.440000000002</v>
      </c>
      <c r="J7" s="8">
        <f>H7+I7</f>
        <v>214889.35</v>
      </c>
      <c r="L7" s="8">
        <f>'FY20'!L62</f>
        <v>11510</v>
      </c>
      <c r="M7" s="8">
        <f>'FY20'!M62</f>
        <v>59077.57</v>
      </c>
      <c r="N7" s="8">
        <f>L7+M7</f>
        <v>70587.570000000007</v>
      </c>
      <c r="P7" s="8">
        <f>'FY20'!P62</f>
        <v>167239.99</v>
      </c>
      <c r="Q7" s="8">
        <f>'FY20'!Q62</f>
        <v>263169.38</v>
      </c>
      <c r="R7" s="8">
        <f>P7+Q7</f>
        <v>430409.37</v>
      </c>
      <c r="T7" s="8">
        <f>'FY20'!T62</f>
        <v>0</v>
      </c>
      <c r="U7" s="8">
        <f>'FY20'!U62</f>
        <v>0</v>
      </c>
      <c r="V7" s="8">
        <f>T7+U7</f>
        <v>0</v>
      </c>
      <c r="X7" s="8">
        <f>D7+H7+L7+P7+T7</f>
        <v>338417.9</v>
      </c>
      <c r="Y7" s="8">
        <f>E7+I7+M7+Q7+U7</f>
        <v>939591.83999999985</v>
      </c>
      <c r="Z7" s="8">
        <f>F7+J7+N7+R7+V7</f>
        <v>1278009.7399999998</v>
      </c>
    </row>
    <row r="9" spans="1:26" x14ac:dyDescent="0.25">
      <c r="B9" s="5" t="s">
        <v>11</v>
      </c>
      <c r="C9" s="5"/>
      <c r="E9" s="1"/>
      <c r="T9" s="1"/>
      <c r="U9" s="1"/>
      <c r="V9" s="1"/>
    </row>
    <row r="10" spans="1:26" x14ac:dyDescent="0.25">
      <c r="B10" s="2" t="s">
        <v>713</v>
      </c>
      <c r="C10" s="2"/>
      <c r="D10" s="9">
        <v>0</v>
      </c>
      <c r="E10" s="9">
        <f>ROUND(816307.01/10,2)</f>
        <v>81630.7</v>
      </c>
      <c r="F10" s="8">
        <f t="shared" ref="F10:F15" si="0">D10+E10</f>
        <v>81630.7</v>
      </c>
      <c r="H10" s="9">
        <v>0</v>
      </c>
      <c r="I10" s="9">
        <f>ROUND(816307.01/10,2)</f>
        <v>81630.7</v>
      </c>
      <c r="J10" s="8">
        <f t="shared" ref="J10:J15" si="1">H10+I10</f>
        <v>81630.7</v>
      </c>
      <c r="L10" s="9">
        <v>0</v>
      </c>
      <c r="M10" s="9">
        <f>ROUND(816307.01/10,2)</f>
        <v>81630.7</v>
      </c>
      <c r="N10" s="8">
        <f t="shared" ref="N10:N15" si="2">L10+M10</f>
        <v>81630.7</v>
      </c>
      <c r="P10" s="9">
        <v>0</v>
      </c>
      <c r="Q10" s="9">
        <f>816307.01-E10-I10-M10</f>
        <v>571414.91000000015</v>
      </c>
      <c r="R10" s="8">
        <f t="shared" ref="R10:R15" si="3">P10+Q10</f>
        <v>571414.91000000015</v>
      </c>
      <c r="T10" s="1"/>
      <c r="U10" s="1"/>
      <c r="V10" s="1"/>
      <c r="X10" s="8">
        <f t="shared" ref="X10:Z15" si="4">D10+H10+L10+P10+T10</f>
        <v>0</v>
      </c>
      <c r="Y10" s="8">
        <f t="shared" si="4"/>
        <v>816307.01000000013</v>
      </c>
      <c r="Z10" s="8">
        <f t="shared" si="4"/>
        <v>816307.01000000013</v>
      </c>
    </row>
    <row r="11" spans="1:26"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1:26" x14ac:dyDescent="0.25">
      <c r="B12" s="2" t="s">
        <v>398</v>
      </c>
      <c r="C12" s="2"/>
      <c r="D12" s="9">
        <v>0</v>
      </c>
      <c r="E12" s="9">
        <f>ROUND(328070/10,2)</f>
        <v>32807</v>
      </c>
      <c r="F12" s="8">
        <f t="shared" si="0"/>
        <v>32807</v>
      </c>
      <c r="H12" s="9">
        <v>0</v>
      </c>
      <c r="I12" s="9">
        <f>ROUND(328070/10,2)</f>
        <v>32807</v>
      </c>
      <c r="J12" s="8">
        <f t="shared" si="1"/>
        <v>32807</v>
      </c>
      <c r="L12" s="9">
        <v>0</v>
      </c>
      <c r="M12" s="9">
        <f>ROUND(328070/10,2)</f>
        <v>32807</v>
      </c>
      <c r="N12" s="8">
        <f t="shared" si="2"/>
        <v>32807</v>
      </c>
      <c r="P12" s="9">
        <v>0</v>
      </c>
      <c r="Q12" s="9">
        <f>328070-E12-I12-M12</f>
        <v>229649</v>
      </c>
      <c r="R12" s="8">
        <f t="shared" si="3"/>
        <v>229649</v>
      </c>
      <c r="T12" s="1"/>
      <c r="U12" s="1"/>
      <c r="V12" s="1"/>
      <c r="X12" s="8">
        <f t="shared" si="4"/>
        <v>0</v>
      </c>
      <c r="Y12" s="8">
        <f t="shared" si="4"/>
        <v>328070</v>
      </c>
      <c r="Z12" s="8">
        <f t="shared" si="4"/>
        <v>328070</v>
      </c>
    </row>
    <row r="13" spans="1:26" x14ac:dyDescent="0.25">
      <c r="B13" s="2" t="s">
        <v>406</v>
      </c>
      <c r="C13" s="2"/>
      <c r="D13" s="9">
        <v>0</v>
      </c>
      <c r="E13" s="9">
        <v>0</v>
      </c>
      <c r="F13" s="8">
        <f t="shared" si="0"/>
        <v>0</v>
      </c>
      <c r="H13" s="9">
        <v>0</v>
      </c>
      <c r="I13" s="9">
        <v>0</v>
      </c>
      <c r="J13" s="8">
        <f t="shared" si="1"/>
        <v>0</v>
      </c>
      <c r="L13" s="9">
        <v>0</v>
      </c>
      <c r="M13" s="9">
        <v>0</v>
      </c>
      <c r="N13" s="8">
        <f t="shared" si="2"/>
        <v>0</v>
      </c>
      <c r="P13" s="9">
        <v>3700</v>
      </c>
      <c r="Q13" s="9">
        <v>0</v>
      </c>
      <c r="R13" s="8">
        <f t="shared" si="3"/>
        <v>3700</v>
      </c>
      <c r="T13" s="1"/>
      <c r="U13" s="1"/>
      <c r="V13" s="1"/>
      <c r="X13" s="8">
        <f>D13+H13+L13+P13+T13</f>
        <v>3700</v>
      </c>
      <c r="Y13" s="8">
        <f>E13+I13+M13+Q13+U13</f>
        <v>0</v>
      </c>
      <c r="Z13" s="8">
        <f>F13+J13+N13+R13+V13</f>
        <v>3700</v>
      </c>
    </row>
    <row r="14" spans="1:26" ht="15.75" thickBot="1" x14ac:dyDescent="0.3">
      <c r="B14" s="2" t="s">
        <v>423</v>
      </c>
      <c r="C14" s="2"/>
      <c r="D14" s="9">
        <v>0</v>
      </c>
      <c r="E14" s="9">
        <f>ROUND(6998.25/10,2)</f>
        <v>699.83</v>
      </c>
      <c r="F14" s="15">
        <f t="shared" si="0"/>
        <v>699.83</v>
      </c>
      <c r="H14" s="14">
        <v>0</v>
      </c>
      <c r="I14" s="9">
        <f>ROUND(6998.25/10,2)</f>
        <v>699.83</v>
      </c>
      <c r="J14" s="15">
        <f t="shared" si="1"/>
        <v>699.83</v>
      </c>
      <c r="L14" s="14">
        <v>0</v>
      </c>
      <c r="M14" s="9">
        <f>ROUND(6998.25/10,2)</f>
        <v>699.83</v>
      </c>
      <c r="N14" s="15">
        <f t="shared" si="2"/>
        <v>699.83</v>
      </c>
      <c r="P14" s="14">
        <v>0</v>
      </c>
      <c r="Q14" s="14">
        <f>6998.25-E14-I14-M14</f>
        <v>4898.76</v>
      </c>
      <c r="R14" s="15">
        <f t="shared" si="3"/>
        <v>4898.76</v>
      </c>
      <c r="T14" s="1"/>
      <c r="U14" s="1"/>
      <c r="V14" s="1"/>
      <c r="X14" s="15">
        <f t="shared" si="4"/>
        <v>0</v>
      </c>
      <c r="Y14" s="15">
        <f t="shared" si="4"/>
        <v>6998.25</v>
      </c>
      <c r="Z14" s="15">
        <f t="shared" si="4"/>
        <v>6998.25</v>
      </c>
    </row>
    <row r="15" spans="1:26" x14ac:dyDescent="0.25">
      <c r="B15" s="2" t="s">
        <v>28</v>
      </c>
      <c r="C15" s="2"/>
      <c r="D15" s="26">
        <f>SUM(D10:D14)</f>
        <v>0</v>
      </c>
      <c r="E15" s="26">
        <f>SUM(E10:E14)</f>
        <v>115137.53</v>
      </c>
      <c r="F15" s="26">
        <f t="shared" si="0"/>
        <v>115137.53</v>
      </c>
      <c r="H15" s="26">
        <f>SUM(H10:H14)</f>
        <v>0</v>
      </c>
      <c r="I15" s="26">
        <f>SUM(I10:I14)</f>
        <v>115137.53</v>
      </c>
      <c r="J15" s="26">
        <f t="shared" si="1"/>
        <v>115137.53</v>
      </c>
      <c r="L15" s="26">
        <f>SUM(L10:L14)</f>
        <v>0</v>
      </c>
      <c r="M15" s="26">
        <f>SUM(M10:M14)</f>
        <v>115137.53</v>
      </c>
      <c r="N15" s="26">
        <f t="shared" si="2"/>
        <v>115137.53</v>
      </c>
      <c r="P15" s="26">
        <f>SUM(P10:P14)</f>
        <v>3700</v>
      </c>
      <c r="Q15" s="26">
        <f>SUM(Q10:Q14)</f>
        <v>805962.67000000016</v>
      </c>
      <c r="R15" s="26">
        <f t="shared" si="3"/>
        <v>809662.67000000016</v>
      </c>
      <c r="S15" s="1"/>
      <c r="T15" s="26">
        <f>SUM(T10:T14)</f>
        <v>0</v>
      </c>
      <c r="U15" s="26">
        <f>SUM(U10:U14)</f>
        <v>0</v>
      </c>
      <c r="V15" s="26">
        <f>T15+U15</f>
        <v>0</v>
      </c>
      <c r="X15" s="26">
        <f t="shared" si="4"/>
        <v>3700</v>
      </c>
      <c r="Y15" s="26">
        <f t="shared" si="4"/>
        <v>1151375.2600000002</v>
      </c>
      <c r="Z15" s="26">
        <f t="shared" si="4"/>
        <v>1155075.2600000002</v>
      </c>
    </row>
    <row r="17" spans="2:26" x14ac:dyDescent="0.25">
      <c r="B17" s="5" t="s">
        <v>439</v>
      </c>
      <c r="C17" s="5"/>
      <c r="E17" s="1"/>
      <c r="F17" s="1"/>
      <c r="H17" s="1"/>
      <c r="I17" s="1"/>
      <c r="J17" s="1"/>
      <c r="M17" s="1"/>
      <c r="N17" s="1"/>
      <c r="P17" s="1"/>
      <c r="Q17" s="1"/>
      <c r="R17" s="1"/>
      <c r="T17" s="1"/>
      <c r="U17" s="1"/>
      <c r="V17" s="1"/>
    </row>
    <row r="18" spans="2:26" x14ac:dyDescent="0.25">
      <c r="B18" s="2" t="s">
        <v>402</v>
      </c>
      <c r="C18" s="6" t="s">
        <v>17</v>
      </c>
      <c r="L18" s="9">
        <f>90000-11510</f>
        <v>78490</v>
      </c>
      <c r="M18" s="8">
        <f>-L18</f>
        <v>-78490</v>
      </c>
      <c r="N18" s="8">
        <f>L18+M18</f>
        <v>0</v>
      </c>
      <c r="P18" s="9">
        <f>482890.62-90000</f>
        <v>392890.62</v>
      </c>
      <c r="Q18" s="8">
        <f>-P18</f>
        <v>-392890.62</v>
      </c>
      <c r="R18" s="8">
        <f>P18+Q18</f>
        <v>0</v>
      </c>
      <c r="X18" s="8">
        <f t="shared" ref="X18:X19" si="5">D18+H18+L18+P18+T18</f>
        <v>471380.62</v>
      </c>
      <c r="Y18" s="8">
        <f t="shared" ref="Y18:Y19" si="6">E18+I18+M18+Q18+U18</f>
        <v>-471380.62</v>
      </c>
      <c r="Z18" s="8">
        <f t="shared" ref="Z18:Z19" si="7">F18+J18+N18+R18+V18</f>
        <v>0</v>
      </c>
    </row>
    <row r="19" spans="2:26" x14ac:dyDescent="0.25">
      <c r="B19" s="2" t="s">
        <v>585</v>
      </c>
      <c r="C19" s="6" t="s">
        <v>442</v>
      </c>
      <c r="D19" s="9">
        <v>51385</v>
      </c>
      <c r="E19" s="8">
        <f>-D19</f>
        <v>-51385</v>
      </c>
      <c r="F19" s="8">
        <f>D19+E19</f>
        <v>0</v>
      </c>
      <c r="H19" s="1"/>
      <c r="I19" s="1"/>
      <c r="J19" s="1"/>
      <c r="L19" s="1"/>
      <c r="M19" s="1"/>
      <c r="X19" s="8">
        <f t="shared" si="5"/>
        <v>51385</v>
      </c>
      <c r="Y19" s="8">
        <f t="shared" si="6"/>
        <v>-51385</v>
      </c>
      <c r="Z19" s="8">
        <f t="shared" si="7"/>
        <v>0</v>
      </c>
    </row>
    <row r="20" spans="2:26" ht="15.75" thickBot="1" x14ac:dyDescent="0.3">
      <c r="B20" s="2" t="s">
        <v>438</v>
      </c>
      <c r="C20" s="6" t="s">
        <v>443</v>
      </c>
      <c r="H20" s="9">
        <f>119000-40510</f>
        <v>78490</v>
      </c>
      <c r="I20" s="8">
        <f>-H20</f>
        <v>-78490</v>
      </c>
      <c r="J20" s="8">
        <f t="shared" ref="J20" si="8">H20+I20</f>
        <v>0</v>
      </c>
      <c r="M20" s="1"/>
      <c r="P20" s="14">
        <v>6000</v>
      </c>
      <c r="Q20" s="8">
        <f>-P20</f>
        <v>-6000</v>
      </c>
      <c r="R20" s="15">
        <f>P20+Q20</f>
        <v>0</v>
      </c>
      <c r="X20" s="8">
        <f t="shared" ref="X20" si="9">D20+H20+L20+P20+T20</f>
        <v>84490</v>
      </c>
      <c r="Y20" s="8">
        <f t="shared" ref="Y20" si="10">E20+I20+M20+Q20+U20</f>
        <v>-84490</v>
      </c>
      <c r="Z20" s="8">
        <f t="shared" ref="Z20" si="11">F20+J20+N20+R20+V20</f>
        <v>0</v>
      </c>
    </row>
    <row r="21" spans="2:26" x14ac:dyDescent="0.25">
      <c r="B21" s="2" t="s">
        <v>424</v>
      </c>
      <c r="C21" s="2"/>
      <c r="D21" s="26">
        <f>SUM(D18:D20)</f>
        <v>51385</v>
      </c>
      <c r="E21" s="26">
        <f>SUM(E18:E20)</f>
        <v>-51385</v>
      </c>
      <c r="F21" s="26">
        <f>D21+E21</f>
        <v>0</v>
      </c>
      <c r="H21" s="26">
        <f>SUM(H18:H20)</f>
        <v>78490</v>
      </c>
      <c r="I21" s="26">
        <f>SUM(I18:I20)</f>
        <v>-78490</v>
      </c>
      <c r="J21" s="26">
        <f>H21+I21</f>
        <v>0</v>
      </c>
      <c r="L21" s="26">
        <f>SUM(L18:L20)</f>
        <v>78490</v>
      </c>
      <c r="M21" s="26">
        <f>SUM(M18:M20)</f>
        <v>-78490</v>
      </c>
      <c r="N21" s="26">
        <f>L21+M21</f>
        <v>0</v>
      </c>
      <c r="P21" s="26">
        <f>SUM(P18:P20)</f>
        <v>398890.62</v>
      </c>
      <c r="Q21" s="26">
        <f>SUM(Q18:Q20)</f>
        <v>-398890.62</v>
      </c>
      <c r="R21" s="26">
        <f>P21+Q21</f>
        <v>0</v>
      </c>
      <c r="S21" s="1"/>
      <c r="T21" s="26">
        <f>SUM(T18:T20)</f>
        <v>0</v>
      </c>
      <c r="U21" s="26">
        <f>SUM(U18:U20)</f>
        <v>0</v>
      </c>
      <c r="V21" s="26">
        <f>T21+U21</f>
        <v>0</v>
      </c>
      <c r="X21" s="26">
        <f>D21+H21+L21+P21+T21</f>
        <v>607255.62</v>
      </c>
      <c r="Y21" s="26">
        <f t="shared" ref="Y21:Z21" si="12">E21+I21+M21+Q21+U21</f>
        <v>-607255.62</v>
      </c>
      <c r="Z21" s="26">
        <f t="shared" si="12"/>
        <v>0</v>
      </c>
    </row>
    <row r="22" spans="2:26" x14ac:dyDescent="0.25">
      <c r="H22" s="1"/>
      <c r="I22" s="1"/>
      <c r="J22" s="1"/>
      <c r="L22" s="1"/>
      <c r="M22" s="1"/>
      <c r="N22" s="1"/>
      <c r="P22" s="1"/>
      <c r="Q22" s="1"/>
      <c r="R22" s="1"/>
    </row>
    <row r="23" spans="2:26" x14ac:dyDescent="0.25">
      <c r="B23" s="5" t="s">
        <v>440</v>
      </c>
      <c r="H23" s="1"/>
      <c r="I23" s="1"/>
      <c r="J23" s="1"/>
      <c r="L23" s="1"/>
      <c r="M23" s="1"/>
      <c r="N23" s="1"/>
      <c r="P23" s="1"/>
      <c r="Q23" s="1"/>
      <c r="R23" s="1"/>
    </row>
    <row r="24" spans="2:26" x14ac:dyDescent="0.25">
      <c r="B24" s="2" t="s">
        <v>7</v>
      </c>
      <c r="H24" s="1"/>
      <c r="I24" s="1"/>
      <c r="J24" s="1"/>
      <c r="L24" s="1"/>
      <c r="M24" s="1"/>
      <c r="N24" s="1"/>
      <c r="P24" s="15">
        <v>0</v>
      </c>
      <c r="Q24" s="15">
        <f>-T24</f>
        <v>0</v>
      </c>
      <c r="R24" s="15">
        <f>P24+Q24</f>
        <v>0</v>
      </c>
      <c r="T24" s="9">
        <v>0</v>
      </c>
      <c r="U24" s="9">
        <v>0</v>
      </c>
      <c r="V24" s="8">
        <f>T24+U24</f>
        <v>0</v>
      </c>
      <c r="X24" s="8">
        <f t="shared" ref="X24" si="13">D24+H24+L24+P24+T24</f>
        <v>0</v>
      </c>
      <c r="Y24" s="8">
        <f t="shared" ref="Y24" si="14">E24+I24+M24+Q24+U24</f>
        <v>0</v>
      </c>
      <c r="Z24" s="8">
        <f t="shared" ref="Z24" si="15">F24+J24+N24+R24+V24</f>
        <v>0</v>
      </c>
    </row>
    <row r="25" spans="2:26" x14ac:dyDescent="0.25">
      <c r="B25" s="2" t="s">
        <v>52</v>
      </c>
      <c r="H25" s="1"/>
      <c r="I25" s="1"/>
      <c r="J25" s="1"/>
      <c r="L25" s="1"/>
      <c r="M25" s="1"/>
      <c r="N25" s="1"/>
      <c r="P25" s="8">
        <v>0</v>
      </c>
      <c r="Q25" s="8">
        <f>-T25</f>
        <v>-5000</v>
      </c>
      <c r="R25" s="8">
        <f>P25+Q25</f>
        <v>-5000</v>
      </c>
      <c r="T25" s="9">
        <f>2500+2500</f>
        <v>5000</v>
      </c>
      <c r="U25" s="9">
        <v>0</v>
      </c>
      <c r="V25" s="8">
        <f>T25+U25</f>
        <v>5000</v>
      </c>
      <c r="X25" s="8">
        <f t="shared" ref="X25" si="16">D25+H25+L25+P25+T25</f>
        <v>5000</v>
      </c>
      <c r="Y25" s="8">
        <f t="shared" ref="Y25" si="17">E25+I25+M25+Q25+U25</f>
        <v>-5000</v>
      </c>
      <c r="Z25" s="8">
        <f t="shared" ref="Z25" si="18">F25+J25+N25+R25+V25</f>
        <v>0</v>
      </c>
    </row>
    <row r="26" spans="2:26" x14ac:dyDescent="0.25">
      <c r="B26" s="2" t="s">
        <v>469</v>
      </c>
      <c r="C26" s="6" t="s">
        <v>463</v>
      </c>
      <c r="H26" s="1"/>
      <c r="I26" s="1"/>
      <c r="J26" s="1"/>
      <c r="L26" s="1"/>
      <c r="M26" s="1"/>
      <c r="N26" s="1"/>
      <c r="P26" s="9">
        <v>95000</v>
      </c>
      <c r="Q26" s="8">
        <f>-P26</f>
        <v>-95000</v>
      </c>
      <c r="R26" s="8">
        <f>P26+Q26</f>
        <v>0</v>
      </c>
      <c r="X26" s="8">
        <f t="shared" ref="X26" si="19">D26+H26+L26+P26+T26</f>
        <v>95000</v>
      </c>
      <c r="Y26" s="8">
        <f t="shared" ref="Y26" si="20">E26+I26+M26+Q26+U26</f>
        <v>-95000</v>
      </c>
      <c r="Z26" s="8">
        <f t="shared" ref="Z26" si="21">F26+J26+N26+R26+V26</f>
        <v>0</v>
      </c>
    </row>
    <row r="27" spans="2:26" x14ac:dyDescent="0.25">
      <c r="B27" s="2" t="s">
        <v>599</v>
      </c>
      <c r="C27" s="6" t="s">
        <v>464</v>
      </c>
      <c r="H27" s="1"/>
      <c r="I27" s="1"/>
      <c r="J27" s="1"/>
      <c r="L27" s="9">
        <v>2000</v>
      </c>
      <c r="M27" s="8">
        <f>-L27</f>
        <v>-2000</v>
      </c>
      <c r="N27" s="8">
        <f>L27+M27</f>
        <v>0</v>
      </c>
      <c r="P27" s="9">
        <v>219000</v>
      </c>
      <c r="Q27" s="8">
        <f>-P27</f>
        <v>-219000</v>
      </c>
      <c r="R27" s="8">
        <f>P27+Q27</f>
        <v>0</v>
      </c>
      <c r="X27" s="8">
        <f t="shared" ref="X27" si="22">D27+H27+L27+P27+T27</f>
        <v>221000</v>
      </c>
      <c r="Y27" s="8">
        <f t="shared" ref="Y27" si="23">E27+I27+M27+Q27+U27</f>
        <v>-221000</v>
      </c>
      <c r="Z27" s="8">
        <f t="shared" ref="Z27" si="24">F27+J27+N27+R27+V27</f>
        <v>0</v>
      </c>
    </row>
    <row r="28" spans="2:26" x14ac:dyDescent="0.25">
      <c r="B28" s="2" t="s">
        <v>458</v>
      </c>
      <c r="C28" s="6" t="s">
        <v>465</v>
      </c>
      <c r="H28" s="9">
        <v>11400</v>
      </c>
      <c r="I28" s="8">
        <f>-H28</f>
        <v>-11400</v>
      </c>
      <c r="J28" s="8">
        <f>H28+I28</f>
        <v>0</v>
      </c>
      <c r="L28" s="1"/>
      <c r="M28" s="1"/>
      <c r="N28" s="1"/>
      <c r="X28" s="8">
        <f t="shared" ref="X28" si="25">D28+H28+L28+P28+T28</f>
        <v>11400</v>
      </c>
      <c r="Y28" s="8">
        <f t="shared" ref="Y28" si="26">E28+I28+M28+Q28+U28</f>
        <v>-11400</v>
      </c>
      <c r="Z28" s="8">
        <f t="shared" ref="Z28" si="27">F28+J28+N28+R28+V28</f>
        <v>0</v>
      </c>
    </row>
    <row r="29" spans="2:26" x14ac:dyDescent="0.25">
      <c r="B29" s="2" t="s">
        <v>459</v>
      </c>
      <c r="C29" s="6" t="s">
        <v>466</v>
      </c>
      <c r="H29" s="9">
        <v>10500</v>
      </c>
      <c r="I29" s="8">
        <f>-H29</f>
        <v>-10500</v>
      </c>
      <c r="J29" s="8">
        <f>H29+I29</f>
        <v>0</v>
      </c>
      <c r="L29" s="1"/>
      <c r="M29" s="1"/>
      <c r="N29" s="1"/>
      <c r="X29" s="8">
        <f t="shared" ref="X29" si="28">D29+H29+L29+P29+T29</f>
        <v>10500</v>
      </c>
      <c r="Y29" s="8">
        <f t="shared" ref="Y29" si="29">E29+I29+M29+Q29+U29</f>
        <v>-10500</v>
      </c>
      <c r="Z29" s="8">
        <f t="shared" ref="Z29" si="30">F29+J29+N29+R29+V29</f>
        <v>0</v>
      </c>
    </row>
    <row r="30" spans="2:26" x14ac:dyDescent="0.25">
      <c r="B30" s="2" t="s">
        <v>460</v>
      </c>
      <c r="C30" s="6" t="s">
        <v>467</v>
      </c>
      <c r="H30" s="1"/>
      <c r="I30" s="1"/>
      <c r="J30" s="1"/>
      <c r="L30" s="9">
        <v>9242</v>
      </c>
      <c r="M30" s="8">
        <f>-L30</f>
        <v>-9242</v>
      </c>
      <c r="N30" s="8">
        <f>L30+M30</f>
        <v>0</v>
      </c>
      <c r="X30" s="8">
        <f t="shared" ref="X30" si="31">D30+H30+L30+P30+T30</f>
        <v>9242</v>
      </c>
      <c r="Y30" s="8">
        <f t="shared" ref="Y30" si="32">E30+I30+M30+Q30+U30</f>
        <v>-9242</v>
      </c>
      <c r="Z30" s="8">
        <f t="shared" ref="Z30" si="33">F30+J30+N30+R30+V30</f>
        <v>0</v>
      </c>
    </row>
    <row r="31" spans="2:26" x14ac:dyDescent="0.25">
      <c r="B31" s="2" t="s">
        <v>461</v>
      </c>
      <c r="C31" s="6" t="s">
        <v>468</v>
      </c>
      <c r="H31" s="9">
        <v>15000</v>
      </c>
      <c r="I31" s="8">
        <f>-H31</f>
        <v>-15000</v>
      </c>
      <c r="J31" s="8">
        <f>H31+I31</f>
        <v>0</v>
      </c>
      <c r="X31" s="8">
        <f t="shared" ref="X31" si="34">D31+H31+L31+P31+T31</f>
        <v>15000</v>
      </c>
      <c r="Y31" s="8">
        <f t="shared" ref="Y31" si="35">E31+I31+M31+Q31+U31</f>
        <v>-15000</v>
      </c>
      <c r="Z31" s="8">
        <f t="shared" ref="Z31" si="36">F31+J31+N31+R31+V31</f>
        <v>0</v>
      </c>
    </row>
    <row r="32" spans="2:26" ht="15.75" thickBot="1" x14ac:dyDescent="0.3">
      <c r="B32" s="2" t="s">
        <v>462</v>
      </c>
      <c r="C32" s="6" t="s">
        <v>470</v>
      </c>
      <c r="D32" s="9">
        <v>200000</v>
      </c>
      <c r="E32" s="8">
        <f>-D32</f>
        <v>-200000</v>
      </c>
      <c r="F32" s="8">
        <f>D32+E32</f>
        <v>0</v>
      </c>
      <c r="H32" s="1"/>
      <c r="I32" s="1"/>
      <c r="J32" s="1"/>
      <c r="L32" s="1"/>
      <c r="M32" s="1"/>
      <c r="N32" s="1"/>
      <c r="X32" s="8">
        <f t="shared" ref="X32" si="37">D32+H32+L32+P32+T32</f>
        <v>200000</v>
      </c>
      <c r="Y32" s="8">
        <f t="shared" ref="Y32" si="38">E32+I32+M32+Q32+U32</f>
        <v>-200000</v>
      </c>
      <c r="Z32" s="8">
        <f t="shared" ref="Z32" si="39">F32+J32+N32+R32+V32</f>
        <v>0</v>
      </c>
    </row>
    <row r="33" spans="2:26" x14ac:dyDescent="0.25">
      <c r="B33" s="2" t="s">
        <v>441</v>
      </c>
      <c r="D33" s="26">
        <f>SUM(D24:D32)</f>
        <v>200000</v>
      </c>
      <c r="E33" s="26">
        <f>SUM(E24:E32)</f>
        <v>-200000</v>
      </c>
      <c r="F33" s="26">
        <f>D33+E33</f>
        <v>0</v>
      </c>
      <c r="H33" s="26">
        <f>SUM(H24:H32)</f>
        <v>36900</v>
      </c>
      <c r="I33" s="26">
        <f>SUM(I24:I32)</f>
        <v>-36900</v>
      </c>
      <c r="J33" s="26">
        <f>H33+I33</f>
        <v>0</v>
      </c>
      <c r="L33" s="26">
        <f>SUM(L24:L32)</f>
        <v>11242</v>
      </c>
      <c r="M33" s="26">
        <f>SUM(M24:M32)</f>
        <v>-11242</v>
      </c>
      <c r="N33" s="26">
        <f>L33+M33</f>
        <v>0</v>
      </c>
      <c r="P33" s="26">
        <f>SUM(P24:P32)</f>
        <v>314000</v>
      </c>
      <c r="Q33" s="26">
        <f>SUM(Q24:Q32)</f>
        <v>-319000</v>
      </c>
      <c r="R33" s="26">
        <f>P33+Q33</f>
        <v>-5000</v>
      </c>
      <c r="S33" s="1"/>
      <c r="T33" s="26">
        <f>SUM(T24:T32)</f>
        <v>5000</v>
      </c>
      <c r="U33" s="26">
        <f>SUM(U24:U32)</f>
        <v>0</v>
      </c>
      <c r="V33" s="26">
        <f>T33+U33</f>
        <v>5000</v>
      </c>
      <c r="X33" s="26">
        <f t="shared" ref="X33" si="40">D33+H33+L33+P33+T33</f>
        <v>567142</v>
      </c>
      <c r="Y33" s="26">
        <f t="shared" ref="Y33" si="41">E33+I33+M33+Q33+U33</f>
        <v>-567142</v>
      </c>
      <c r="Z33" s="26">
        <f t="shared" ref="Z33" si="42">F33+J33+N33+R33+V33</f>
        <v>0</v>
      </c>
    </row>
    <row r="34" spans="2:26" x14ac:dyDescent="0.25">
      <c r="H34" s="1"/>
      <c r="I34" s="1"/>
      <c r="J34" s="1"/>
      <c r="L34" s="1"/>
      <c r="M34" s="1"/>
      <c r="N34" s="1"/>
      <c r="P34" s="1"/>
      <c r="Q34" s="1"/>
      <c r="R34" s="1"/>
    </row>
    <row r="35" spans="2:26" x14ac:dyDescent="0.25">
      <c r="B35" s="5" t="s">
        <v>8</v>
      </c>
      <c r="C35" s="5"/>
      <c r="H35" s="1"/>
      <c r="I35" s="1"/>
      <c r="J35" s="1"/>
      <c r="L35" s="1"/>
      <c r="M35" s="1"/>
      <c r="N35" s="1"/>
      <c r="P35" s="1"/>
      <c r="Q35" s="1"/>
    </row>
    <row r="36" spans="2:26" x14ac:dyDescent="0.25">
      <c r="B36" s="2" t="s">
        <v>7</v>
      </c>
      <c r="C36" s="2"/>
      <c r="D36" s="1"/>
      <c r="E36" s="1"/>
      <c r="F36" s="1"/>
      <c r="H36" s="1"/>
      <c r="I36" s="1"/>
      <c r="J36" s="1"/>
      <c r="T36" s="9">
        <v>0</v>
      </c>
      <c r="U36" s="9">
        <v>0</v>
      </c>
      <c r="V36" s="8">
        <f>T36+U36</f>
        <v>0</v>
      </c>
      <c r="X36" s="8">
        <f t="shared" ref="X36:Y37" si="43">D36+H36+L36+P36+T36</f>
        <v>0</v>
      </c>
      <c r="Y36" s="8">
        <f t="shared" si="43"/>
        <v>0</v>
      </c>
      <c r="Z36" s="8">
        <f t="shared" ref="Z36:Z37" si="44">X36+Y36</f>
        <v>0</v>
      </c>
    </row>
    <row r="37" spans="2:26" x14ac:dyDescent="0.25">
      <c r="B37" s="2" t="s">
        <v>52</v>
      </c>
      <c r="C37" s="2"/>
      <c r="D37" s="1"/>
      <c r="E37" s="1"/>
      <c r="F37" s="1"/>
      <c r="H37" s="1"/>
      <c r="I37" s="1"/>
      <c r="J37" s="1"/>
      <c r="L37" s="1"/>
      <c r="M37" s="1"/>
      <c r="N37" s="1"/>
      <c r="Q37" s="1"/>
      <c r="R37" s="1"/>
      <c r="T37" s="9">
        <v>-3735.62</v>
      </c>
      <c r="U37" s="9">
        <v>0</v>
      </c>
      <c r="V37" s="8">
        <f>T37+U37</f>
        <v>-3735.62</v>
      </c>
      <c r="X37" s="8">
        <f t="shared" si="43"/>
        <v>-3735.62</v>
      </c>
      <c r="Y37" s="8">
        <f t="shared" si="43"/>
        <v>0</v>
      </c>
      <c r="Z37" s="8">
        <f t="shared" si="44"/>
        <v>-3735.62</v>
      </c>
    </row>
    <row r="38" spans="2:26" x14ac:dyDescent="0.25">
      <c r="B38" s="2" t="s">
        <v>402</v>
      </c>
      <c r="C38" s="6" t="s">
        <v>17</v>
      </c>
      <c r="H38" s="1"/>
      <c r="I38" s="1"/>
      <c r="J38" s="1"/>
      <c r="L38" s="9">
        <f>-90000</f>
        <v>-90000</v>
      </c>
      <c r="M38" s="9">
        <v>0</v>
      </c>
      <c r="N38" s="8">
        <f>L38+M38</f>
        <v>-90000</v>
      </c>
      <c r="P38" s="9">
        <f>-482890.63-L38</f>
        <v>-392890.63</v>
      </c>
      <c r="Q38" s="9">
        <v>0</v>
      </c>
      <c r="R38" s="8">
        <f>P38+Q38</f>
        <v>-392890.63</v>
      </c>
      <c r="X38" s="8">
        <f t="shared" ref="X38:X40" si="45">D38+H38+L38+P38+T38</f>
        <v>-482890.63</v>
      </c>
      <c r="Y38" s="8">
        <f t="shared" ref="Y38:Y40" si="46">E38+I38+M38+Q38+U38</f>
        <v>0</v>
      </c>
      <c r="Z38" s="8">
        <f t="shared" ref="Z38:Z40" si="47">X38+Y38</f>
        <v>-482890.63</v>
      </c>
    </row>
    <row r="39" spans="2:26" x14ac:dyDescent="0.25">
      <c r="B39" s="2" t="s">
        <v>306</v>
      </c>
      <c r="C39" s="6" t="s">
        <v>354</v>
      </c>
      <c r="D39" s="1"/>
      <c r="E39" s="1"/>
      <c r="F39" s="1"/>
      <c r="H39" s="9">
        <v>0</v>
      </c>
      <c r="I39" s="9">
        <v>0</v>
      </c>
      <c r="J39" s="8">
        <f>H39+I39</f>
        <v>0</v>
      </c>
      <c r="L39" s="1"/>
      <c r="M39" s="1"/>
      <c r="N39" s="1"/>
      <c r="Q39" s="1"/>
      <c r="R39" s="1"/>
      <c r="X39" s="8">
        <f t="shared" si="45"/>
        <v>0</v>
      </c>
      <c r="Y39" s="8">
        <f t="shared" si="46"/>
        <v>0</v>
      </c>
      <c r="Z39" s="8">
        <f t="shared" si="47"/>
        <v>0</v>
      </c>
    </row>
    <row r="40" spans="2:26" x14ac:dyDescent="0.25">
      <c r="B40" s="2" t="s">
        <v>582</v>
      </c>
      <c r="C40" s="6" t="s">
        <v>378</v>
      </c>
      <c r="H40" s="9">
        <f>-71693.03+19600.14</f>
        <v>-52092.89</v>
      </c>
      <c r="I40" s="9">
        <v>0</v>
      </c>
      <c r="J40" s="8">
        <f>H40+I40</f>
        <v>-52092.89</v>
      </c>
      <c r="L40" s="1"/>
      <c r="M40" s="1"/>
      <c r="N40" s="1"/>
      <c r="P40" s="9">
        <f>-145330+6000</f>
        <v>-139330</v>
      </c>
      <c r="Q40" s="9">
        <v>0</v>
      </c>
      <c r="R40" s="8">
        <f>P40+Q40</f>
        <v>-139330</v>
      </c>
      <c r="X40" s="8">
        <f t="shared" si="45"/>
        <v>-191422.89</v>
      </c>
      <c r="Y40" s="8">
        <f t="shared" si="46"/>
        <v>0</v>
      </c>
      <c r="Z40" s="8">
        <f t="shared" si="47"/>
        <v>-191422.89</v>
      </c>
    </row>
    <row r="41" spans="2:26" x14ac:dyDescent="0.25">
      <c r="B41" s="2" t="s">
        <v>380</v>
      </c>
      <c r="C41" s="6" t="s">
        <v>381</v>
      </c>
      <c r="D41" s="1"/>
      <c r="E41" s="1"/>
      <c r="F41" s="1"/>
      <c r="H41" s="1"/>
      <c r="I41" s="1"/>
      <c r="J41" s="1"/>
      <c r="L41" s="1"/>
      <c r="M41" s="1"/>
      <c r="N41" s="1"/>
      <c r="P41" s="9">
        <v>0</v>
      </c>
      <c r="Q41" s="9">
        <v>0</v>
      </c>
      <c r="R41" s="8">
        <f>P41+Q41</f>
        <v>0</v>
      </c>
      <c r="X41" s="8">
        <f t="shared" ref="X41" si="48">D41+H41+L41+P41+T41</f>
        <v>0</v>
      </c>
      <c r="Y41" s="8">
        <f t="shared" ref="Y41" si="49">E41+I41+M41+Q41+U41</f>
        <v>0</v>
      </c>
      <c r="Z41" s="8">
        <f t="shared" ref="Z41" si="50">X41+Y41</f>
        <v>0</v>
      </c>
    </row>
    <row r="42" spans="2:26" x14ac:dyDescent="0.25">
      <c r="B42" s="2" t="s">
        <v>382</v>
      </c>
      <c r="C42" s="6" t="s">
        <v>383</v>
      </c>
      <c r="D42" s="1"/>
      <c r="E42" s="1"/>
      <c r="F42" s="1"/>
      <c r="H42" s="1"/>
      <c r="I42" s="1"/>
      <c r="J42" s="1"/>
      <c r="L42" s="1"/>
      <c r="M42" s="1"/>
      <c r="N42" s="1"/>
      <c r="P42" s="9">
        <f>-(18438.87-5754.54)+3272</f>
        <v>-9412.3299999999981</v>
      </c>
      <c r="Q42" s="9">
        <v>0</v>
      </c>
      <c r="R42" s="8">
        <f>P42+Q42</f>
        <v>-9412.3299999999981</v>
      </c>
      <c r="X42" s="8">
        <f t="shared" ref="X42:X44" si="51">D42+H42+L42+P42+T42</f>
        <v>-9412.3299999999981</v>
      </c>
      <c r="Y42" s="8">
        <f t="shared" ref="Y42:Y44" si="52">E42+I42+M42+Q42+U42</f>
        <v>0</v>
      </c>
      <c r="Z42" s="8">
        <f t="shared" ref="Z42:Z44" si="53">X42+Y42</f>
        <v>-9412.3299999999981</v>
      </c>
    </row>
    <row r="43" spans="2:26" x14ac:dyDescent="0.25">
      <c r="B43" s="2" t="s">
        <v>410</v>
      </c>
      <c r="C43" s="6" t="s">
        <v>414</v>
      </c>
      <c r="H43" s="9">
        <v>0</v>
      </c>
      <c r="I43" s="9">
        <v>0</v>
      </c>
      <c r="J43" s="8">
        <f>H43+I43</f>
        <v>0</v>
      </c>
      <c r="L43" s="1"/>
      <c r="M43" s="1"/>
      <c r="N43" s="1"/>
      <c r="Q43" s="1"/>
      <c r="R43" s="1"/>
      <c r="X43" s="8">
        <f t="shared" si="51"/>
        <v>0</v>
      </c>
      <c r="Y43" s="8">
        <f t="shared" si="52"/>
        <v>0</v>
      </c>
      <c r="Z43" s="8">
        <f t="shared" si="53"/>
        <v>0</v>
      </c>
    </row>
    <row r="44" spans="2:26" x14ac:dyDescent="0.25">
      <c r="B44" s="2" t="s">
        <v>585</v>
      </c>
      <c r="C44" s="6" t="s">
        <v>442</v>
      </c>
      <c r="D44" s="9">
        <f>-51385*0 - 45992.69</f>
        <v>-45992.69</v>
      </c>
      <c r="E44" s="9">
        <v>0</v>
      </c>
      <c r="F44" s="8">
        <f>D44+E44</f>
        <v>-45992.69</v>
      </c>
      <c r="L44" s="1"/>
      <c r="M44" s="1"/>
      <c r="N44" s="1"/>
      <c r="Q44" s="1"/>
      <c r="R44" s="1"/>
      <c r="X44" s="8">
        <f t="shared" si="51"/>
        <v>-45992.69</v>
      </c>
      <c r="Y44" s="8">
        <f t="shared" si="52"/>
        <v>0</v>
      </c>
      <c r="Z44" s="8">
        <f t="shared" si="53"/>
        <v>-45992.69</v>
      </c>
    </row>
    <row r="45" spans="2:26" x14ac:dyDescent="0.25">
      <c r="B45" s="2" t="s">
        <v>469</v>
      </c>
      <c r="C45" s="6" t="s">
        <v>463</v>
      </c>
      <c r="L45" s="1"/>
      <c r="M45" s="1"/>
      <c r="N45" s="1"/>
      <c r="P45" s="9">
        <v>0</v>
      </c>
      <c r="Q45" s="9">
        <v>0</v>
      </c>
      <c r="R45" s="8">
        <f>P45+Q45</f>
        <v>0</v>
      </c>
      <c r="X45" s="8">
        <f t="shared" ref="X45" si="54">D45+H45+L45+P45+T45</f>
        <v>0</v>
      </c>
      <c r="Y45" s="8">
        <f t="shared" ref="Y45" si="55">E45+I45+M45+Q45+U45</f>
        <v>0</v>
      </c>
      <c r="Z45" s="8">
        <f t="shared" ref="Z45" si="56">X45+Y45</f>
        <v>0</v>
      </c>
    </row>
    <row r="46" spans="2:26" x14ac:dyDescent="0.25">
      <c r="B46" s="2" t="s">
        <v>599</v>
      </c>
      <c r="C46" s="6" t="s">
        <v>464</v>
      </c>
      <c r="L46" s="9">
        <v>-2000</v>
      </c>
      <c r="M46" s="9">
        <v>0</v>
      </c>
      <c r="N46" s="8">
        <f>L46+M46</f>
        <v>-2000</v>
      </c>
      <c r="P46" s="9">
        <v>-219000</v>
      </c>
      <c r="Q46" s="9">
        <v>0</v>
      </c>
      <c r="R46" s="8">
        <f>P46+Q46</f>
        <v>-219000</v>
      </c>
      <c r="X46" s="8">
        <f t="shared" ref="X46" si="57">D46+H46+L46+P46+T46</f>
        <v>-221000</v>
      </c>
      <c r="Y46" s="8">
        <f t="shared" ref="Y46" si="58">E46+I46+M46+Q46+U46</f>
        <v>0</v>
      </c>
      <c r="Z46" s="8">
        <f t="shared" ref="Z46" si="59">X46+Y46</f>
        <v>-221000</v>
      </c>
    </row>
    <row r="47" spans="2:26" x14ac:dyDescent="0.25">
      <c r="B47" s="2" t="s">
        <v>458</v>
      </c>
      <c r="C47" s="6" t="s">
        <v>465</v>
      </c>
      <c r="H47" s="9">
        <v>0</v>
      </c>
      <c r="I47" s="9">
        <v>0</v>
      </c>
      <c r="J47" s="8">
        <f>H47+I47</f>
        <v>0</v>
      </c>
      <c r="L47" s="1"/>
      <c r="M47" s="1"/>
      <c r="N47" s="1"/>
      <c r="Q47" s="1"/>
      <c r="R47" s="1"/>
      <c r="X47" s="8">
        <f t="shared" ref="X47" si="60">D47+H47+L47+P47+T47</f>
        <v>0</v>
      </c>
      <c r="Y47" s="8">
        <f t="shared" ref="Y47" si="61">E47+I47+M47+Q47+U47</f>
        <v>0</v>
      </c>
      <c r="Z47" s="8">
        <f t="shared" ref="Z47" si="62">X47+Y47</f>
        <v>0</v>
      </c>
    </row>
    <row r="48" spans="2:26" x14ac:dyDescent="0.25">
      <c r="B48" s="2" t="s">
        <v>459</v>
      </c>
      <c r="C48" s="6" t="s">
        <v>466</v>
      </c>
      <c r="H48" s="9">
        <f>-10500+621</f>
        <v>-9879</v>
      </c>
      <c r="I48" s="9">
        <v>0</v>
      </c>
      <c r="J48" s="8">
        <f>H48+I48</f>
        <v>-9879</v>
      </c>
      <c r="L48" s="1"/>
      <c r="M48" s="1"/>
      <c r="N48" s="1"/>
      <c r="Q48" s="1"/>
      <c r="R48" s="1"/>
      <c r="X48" s="8">
        <f t="shared" ref="X48" si="63">D48+H48+L48+P48+T48</f>
        <v>-9879</v>
      </c>
      <c r="Y48" s="8">
        <f t="shared" ref="Y48" si="64">E48+I48+M48+Q48+U48</f>
        <v>0</v>
      </c>
      <c r="Z48" s="8">
        <f t="shared" ref="Z48" si="65">X48+Y48</f>
        <v>-9879</v>
      </c>
    </row>
    <row r="49" spans="2:26" x14ac:dyDescent="0.25">
      <c r="B49" s="2" t="s">
        <v>460</v>
      </c>
      <c r="C49" s="6" t="s">
        <v>467</v>
      </c>
      <c r="L49" s="9">
        <f>-9242+1937</f>
        <v>-7305</v>
      </c>
      <c r="M49" s="9">
        <v>0</v>
      </c>
      <c r="N49" s="8">
        <f>L49+M49</f>
        <v>-7305</v>
      </c>
      <c r="Q49" s="1"/>
      <c r="R49" s="1"/>
      <c r="X49" s="8">
        <f t="shared" ref="X49" si="66">D49+H49+L49+P49+T49</f>
        <v>-7305</v>
      </c>
      <c r="Y49" s="8">
        <f t="shared" ref="Y49" si="67">E49+I49+M49+Q49+U49</f>
        <v>0</v>
      </c>
      <c r="Z49" s="8">
        <f t="shared" ref="Z49" si="68">X49+Y49</f>
        <v>-7305</v>
      </c>
    </row>
    <row r="50" spans="2:26" x14ac:dyDescent="0.25">
      <c r="B50" s="2" t="s">
        <v>461</v>
      </c>
      <c r="C50" s="6" t="s">
        <v>468</v>
      </c>
      <c r="H50" s="9">
        <v>0</v>
      </c>
      <c r="I50" s="9">
        <v>0</v>
      </c>
      <c r="J50" s="8">
        <f>H50+I50</f>
        <v>0</v>
      </c>
      <c r="L50" s="1"/>
      <c r="M50" s="1"/>
      <c r="N50" s="1"/>
      <c r="Q50" s="1"/>
      <c r="R50" s="1"/>
      <c r="X50" s="8">
        <f t="shared" ref="X50:X51" si="69">D50+H50+L50+P50+T50</f>
        <v>0</v>
      </c>
      <c r="Y50" s="8">
        <f t="shared" ref="Y50:Y51" si="70">E50+I50+M50+Q50+U50</f>
        <v>0</v>
      </c>
      <c r="Z50" s="8">
        <f t="shared" ref="Z50:Z51" si="71">X50+Y50</f>
        <v>0</v>
      </c>
    </row>
    <row r="51" spans="2:26" x14ac:dyDescent="0.25">
      <c r="B51" s="2" t="s">
        <v>438</v>
      </c>
      <c r="C51" s="6" t="s">
        <v>443</v>
      </c>
      <c r="D51" s="1"/>
      <c r="E51" s="1"/>
      <c r="F51" s="1"/>
      <c r="H51" s="9">
        <v>-119000</v>
      </c>
      <c r="I51" s="9">
        <v>0</v>
      </c>
      <c r="J51" s="8">
        <f>H51+I51</f>
        <v>-119000</v>
      </c>
      <c r="L51" s="1"/>
      <c r="M51" s="1"/>
      <c r="N51" s="1"/>
      <c r="P51" s="9">
        <v>-6000</v>
      </c>
      <c r="Q51" s="9">
        <v>0</v>
      </c>
      <c r="R51" s="8">
        <f>P51+Q51</f>
        <v>-6000</v>
      </c>
      <c r="X51" s="8">
        <f t="shared" si="69"/>
        <v>-125000</v>
      </c>
      <c r="Y51" s="8">
        <f t="shared" si="70"/>
        <v>0</v>
      </c>
      <c r="Z51" s="8">
        <f t="shared" si="71"/>
        <v>-125000</v>
      </c>
    </row>
    <row r="52" spans="2:26" ht="15.75" thickBot="1" x14ac:dyDescent="0.3">
      <c r="B52" s="2" t="s">
        <v>462</v>
      </c>
      <c r="C52" s="6" t="s">
        <v>470</v>
      </c>
      <c r="D52" s="9">
        <v>0</v>
      </c>
      <c r="E52" s="9">
        <v>0</v>
      </c>
      <c r="F52" s="8">
        <f>D52+E52</f>
        <v>0</v>
      </c>
      <c r="L52" s="1"/>
      <c r="M52" s="1"/>
      <c r="N52" s="1"/>
      <c r="Q52" s="1"/>
      <c r="R52" s="1"/>
      <c r="X52" s="8">
        <f t="shared" ref="X52" si="72">D52+H52+L52+P52+T52</f>
        <v>0</v>
      </c>
      <c r="Y52" s="8">
        <f t="shared" ref="Y52" si="73">E52+I52+M52+Q52+U52</f>
        <v>0</v>
      </c>
      <c r="Z52" s="8">
        <f t="shared" ref="Z52" si="74">X52+Y52</f>
        <v>0</v>
      </c>
    </row>
    <row r="53" spans="2:26" x14ac:dyDescent="0.25">
      <c r="B53" s="2" t="s">
        <v>31</v>
      </c>
      <c r="C53" s="2"/>
      <c r="D53" s="26">
        <f>SUM(D36:D52)</f>
        <v>-45992.69</v>
      </c>
      <c r="E53" s="26">
        <f>SUM(E36:E52)</f>
        <v>0</v>
      </c>
      <c r="F53" s="26">
        <f>D53+E53</f>
        <v>-45992.69</v>
      </c>
      <c r="H53" s="26">
        <f>SUM(H36:H52)</f>
        <v>-180971.89</v>
      </c>
      <c r="I53" s="26">
        <f>SUM(I36:I52)</f>
        <v>0</v>
      </c>
      <c r="J53" s="26">
        <f>H53+I53</f>
        <v>-180971.89</v>
      </c>
      <c r="L53" s="26">
        <f>SUM(L36:L52)</f>
        <v>-99305</v>
      </c>
      <c r="M53" s="26">
        <f>SUM(M36:M52)</f>
        <v>0</v>
      </c>
      <c r="N53" s="26">
        <f>L53+M53</f>
        <v>-99305</v>
      </c>
      <c r="P53" s="26">
        <f>SUM(P36:P52)</f>
        <v>-766632.95999999996</v>
      </c>
      <c r="Q53" s="26">
        <f>SUM(Q36:Q52)</f>
        <v>0</v>
      </c>
      <c r="R53" s="26">
        <f>P53+Q53</f>
        <v>-766632.95999999996</v>
      </c>
      <c r="S53" s="1"/>
      <c r="T53" s="26">
        <f>SUM(T36:T52)</f>
        <v>-3735.62</v>
      </c>
      <c r="U53" s="26">
        <f>SUM(U36:U52)</f>
        <v>0</v>
      </c>
      <c r="V53" s="26">
        <f>T53+U53</f>
        <v>-3735.62</v>
      </c>
      <c r="X53" s="26">
        <f>SUM(X36:X52)</f>
        <v>-1096638.1599999999</v>
      </c>
      <c r="Y53" s="26">
        <f>SUM(Y36:Y52)</f>
        <v>0</v>
      </c>
      <c r="Z53" s="26">
        <f>X53+Y53</f>
        <v>-1096638.1599999999</v>
      </c>
    </row>
    <row r="54" spans="2:26" x14ac:dyDescent="0.25">
      <c r="D54" s="1"/>
      <c r="E54" s="1"/>
      <c r="F54" s="1"/>
      <c r="H54" s="1"/>
      <c r="I54" s="1"/>
      <c r="J54" s="1"/>
      <c r="L54" s="1"/>
      <c r="M54" s="1"/>
      <c r="N54" s="1"/>
      <c r="P54" s="1"/>
      <c r="Q54" s="1"/>
      <c r="R54" s="1"/>
      <c r="U54" s="1"/>
      <c r="V54" s="1"/>
      <c r="X54" s="1"/>
    </row>
    <row r="55" spans="2:26" x14ac:dyDescent="0.25">
      <c r="B55" s="5" t="s">
        <v>10</v>
      </c>
      <c r="C55" s="5"/>
      <c r="D55" s="1"/>
      <c r="E55" s="1"/>
      <c r="F55" s="1"/>
      <c r="L55" s="1"/>
      <c r="M55" s="1"/>
      <c r="N55" s="1"/>
    </row>
    <row r="56" spans="2:26" x14ac:dyDescent="0.25">
      <c r="B56" s="2" t="s">
        <v>7</v>
      </c>
      <c r="C56" s="2"/>
      <c r="T56" s="9">
        <v>0</v>
      </c>
      <c r="U56" s="8">
        <f>-T56</f>
        <v>0</v>
      </c>
      <c r="V56" s="8">
        <f>T56+U56</f>
        <v>0</v>
      </c>
      <c r="X56" s="8">
        <f t="shared" ref="X56:Y58" si="75">D56+H56+L56+P56+T56</f>
        <v>0</v>
      </c>
      <c r="Y56" s="8">
        <f t="shared" si="75"/>
        <v>0</v>
      </c>
      <c r="Z56" s="8">
        <f>X56+Y56</f>
        <v>0</v>
      </c>
    </row>
    <row r="57" spans="2:26" x14ac:dyDescent="0.25">
      <c r="B57" s="2" t="s">
        <v>52</v>
      </c>
      <c r="C57" s="2"/>
      <c r="P57" s="9">
        <v>0</v>
      </c>
      <c r="Q57" s="8">
        <f>-T57</f>
        <v>1264.3800000000001</v>
      </c>
      <c r="R57" s="8">
        <f>P57+Q57</f>
        <v>1264.3800000000001</v>
      </c>
      <c r="T57" s="9">
        <f>-5000+3735.62</f>
        <v>-1264.3800000000001</v>
      </c>
      <c r="U57" s="8">
        <v>0</v>
      </c>
      <c r="V57" s="8">
        <f>T57+U57</f>
        <v>-1264.3800000000001</v>
      </c>
      <c r="X57" s="8">
        <f t="shared" si="75"/>
        <v>-1264.3800000000001</v>
      </c>
      <c r="Y57" s="8">
        <f t="shared" si="75"/>
        <v>1264.3800000000001</v>
      </c>
      <c r="Z57" s="8">
        <f>X57+Y57</f>
        <v>0</v>
      </c>
    </row>
    <row r="58" spans="2:26" x14ac:dyDescent="0.25">
      <c r="B58" s="2" t="s">
        <v>402</v>
      </c>
      <c r="C58" s="6" t="s">
        <v>17</v>
      </c>
      <c r="P58" s="9">
        <v>0.01</v>
      </c>
      <c r="Q58" s="8">
        <f>-P58</f>
        <v>-0.01</v>
      </c>
      <c r="R58" s="8">
        <f>P58+Q58</f>
        <v>0</v>
      </c>
      <c r="X58" s="8">
        <f t="shared" si="75"/>
        <v>0.01</v>
      </c>
      <c r="Y58" s="8">
        <f t="shared" si="75"/>
        <v>-0.01</v>
      </c>
      <c r="Z58" s="8">
        <f>X58+Y58</f>
        <v>0</v>
      </c>
    </row>
    <row r="59" spans="2:26" x14ac:dyDescent="0.25">
      <c r="B59" s="2" t="s">
        <v>585</v>
      </c>
      <c r="C59" s="6" t="s">
        <v>442</v>
      </c>
      <c r="D59" s="9">
        <f>-51385 + 45992.69</f>
        <v>-5392.3099999999977</v>
      </c>
      <c r="E59" s="8">
        <f>-D59</f>
        <v>5392.3099999999977</v>
      </c>
      <c r="F59" s="8">
        <f>D59+E59</f>
        <v>0</v>
      </c>
      <c r="X59" s="8">
        <f t="shared" ref="X59" si="76">D59+H59+L59+P59+T59</f>
        <v>-5392.3099999999977</v>
      </c>
      <c r="Y59" s="8">
        <f t="shared" ref="Y59" si="77">E59+I59+M59+Q59+U59</f>
        <v>5392.3099999999977</v>
      </c>
      <c r="Z59" s="8">
        <f>X59+Y59</f>
        <v>0</v>
      </c>
    </row>
    <row r="60" spans="2:26" x14ac:dyDescent="0.25">
      <c r="B60" s="2" t="s">
        <v>39</v>
      </c>
      <c r="C60" s="2"/>
      <c r="D60" s="13">
        <f>SUM(D56:D59)</f>
        <v>-5392.3099999999977</v>
      </c>
      <c r="E60" s="13">
        <f>SUM(E56:E59)</f>
        <v>5392.3099999999977</v>
      </c>
      <c r="F60" s="13">
        <f>D60+E60</f>
        <v>0</v>
      </c>
      <c r="H60" s="13">
        <f>SUM(H56:H59)</f>
        <v>0</v>
      </c>
      <c r="I60" s="13">
        <f>SUM(I56:I59)</f>
        <v>0</v>
      </c>
      <c r="J60" s="13">
        <f>H60+I60</f>
        <v>0</v>
      </c>
      <c r="L60" s="13">
        <f>SUM(L56:L59)</f>
        <v>0</v>
      </c>
      <c r="M60" s="13">
        <f>SUM(M56:M59)</f>
        <v>0</v>
      </c>
      <c r="N60" s="13">
        <f>L60+M60</f>
        <v>0</v>
      </c>
      <c r="P60" s="13">
        <f>SUM(P56:P59)</f>
        <v>0.01</v>
      </c>
      <c r="Q60" s="13">
        <f>SUM(Q56:Q59)</f>
        <v>1264.3700000000001</v>
      </c>
      <c r="R60" s="13">
        <f>P60+Q60</f>
        <v>1264.3800000000001</v>
      </c>
      <c r="T60" s="13">
        <f>SUM(T56:T59)</f>
        <v>-1264.3800000000001</v>
      </c>
      <c r="U60" s="13">
        <f>SUM(U56:U59)</f>
        <v>0</v>
      </c>
      <c r="V60" s="13">
        <f>T60+U60</f>
        <v>-1264.3800000000001</v>
      </c>
      <c r="X60" s="13">
        <f>SUM(X56:X58)</f>
        <v>-1264.3700000000001</v>
      </c>
      <c r="Y60" s="13">
        <f>SUM(Y56:Y58)</f>
        <v>1264.3700000000001</v>
      </c>
      <c r="Z60" s="13">
        <f>X60+Y60</f>
        <v>0</v>
      </c>
    </row>
    <row r="61" spans="2:26" x14ac:dyDescent="0.25">
      <c r="L61" s="1"/>
      <c r="M61" s="1"/>
      <c r="N61" s="1"/>
      <c r="P61" s="1"/>
      <c r="Q61" s="1"/>
      <c r="R61" s="1"/>
    </row>
    <row r="62" spans="2:26" x14ac:dyDescent="0.25">
      <c r="B62" s="2" t="s">
        <v>425</v>
      </c>
      <c r="C62" s="2"/>
      <c r="D62" s="8">
        <f>D7+D15+D21+D33+D53+D60</f>
        <v>200000</v>
      </c>
      <c r="E62" s="8">
        <f>E7+E15+E21+E33+E53+E60</f>
        <v>431268.29</v>
      </c>
      <c r="F62" s="8">
        <f>D62+E62</f>
        <v>631268.29</v>
      </c>
      <c r="H62" s="8">
        <f>H7+H15+H21+H33+H53+H60</f>
        <v>94086.020000000019</v>
      </c>
      <c r="I62" s="8">
        <f>I7+I15+I21+I33+I53+I60</f>
        <v>54968.97</v>
      </c>
      <c r="J62" s="8">
        <f>H62+I62</f>
        <v>149054.99000000002</v>
      </c>
      <c r="L62" s="8">
        <f>L7+L15+L21+L33+L53+L60</f>
        <v>1937</v>
      </c>
      <c r="M62" s="8">
        <f>M7+M15+M21+M33+M53+M60</f>
        <v>84483.1</v>
      </c>
      <c r="N62" s="8">
        <f>L62+M62</f>
        <v>86420.1</v>
      </c>
      <c r="P62" s="8">
        <f>P7+P15+P21+P33+P53+P60</f>
        <v>117197.66000000002</v>
      </c>
      <c r="Q62" s="8">
        <f>Q7+Q15+Q21+Q33+Q53+Q60</f>
        <v>352505.80000000028</v>
      </c>
      <c r="R62" s="8">
        <f>P62+Q62</f>
        <v>469703.46000000031</v>
      </c>
      <c r="T62" s="8">
        <f>T7+T15+T21+T33+T53+T60</f>
        <v>0</v>
      </c>
      <c r="U62" s="8">
        <f>U7+U15+U21+U33+U53+U60</f>
        <v>0</v>
      </c>
      <c r="V62" s="8">
        <f>T62+U62</f>
        <v>0</v>
      </c>
      <c r="X62" s="8">
        <f>D62+H62+L62+P62+T62</f>
        <v>413220.68000000005</v>
      </c>
      <c r="Y62" s="8">
        <f>E62+I62+M62+Q62+U62</f>
        <v>923226.16000000027</v>
      </c>
      <c r="Z62" s="8">
        <f>X62+Y62</f>
        <v>1336446.8400000003</v>
      </c>
    </row>
    <row r="64" spans="2:26" x14ac:dyDescent="0.25">
      <c r="B64" s="5" t="s">
        <v>426</v>
      </c>
      <c r="C64" s="5"/>
      <c r="L64" s="1"/>
      <c r="M64" s="1"/>
      <c r="N64" s="1"/>
      <c r="P64" s="1"/>
    </row>
    <row r="65" spans="1:26" x14ac:dyDescent="0.25">
      <c r="B65" s="2" t="s">
        <v>244</v>
      </c>
      <c r="C65" s="2"/>
      <c r="D65" s="9">
        <v>0</v>
      </c>
      <c r="E65" s="9">
        <v>0</v>
      </c>
      <c r="F65" s="8">
        <f>D65+E65</f>
        <v>0</v>
      </c>
      <c r="H65" s="9">
        <v>0</v>
      </c>
      <c r="I65" s="9">
        <v>0</v>
      </c>
      <c r="J65" s="12">
        <f>H65+I65</f>
        <v>0</v>
      </c>
      <c r="L65" s="14">
        <v>0</v>
      </c>
      <c r="M65" s="14">
        <v>0</v>
      </c>
      <c r="N65" s="8">
        <f>L65+M65</f>
        <v>0</v>
      </c>
      <c r="P65" s="9">
        <v>0</v>
      </c>
      <c r="Q65" s="9">
        <v>0</v>
      </c>
      <c r="R65" s="8">
        <f>P65+Q65</f>
        <v>0</v>
      </c>
      <c r="T65" s="9">
        <v>0</v>
      </c>
      <c r="U65" s="9">
        <v>0</v>
      </c>
      <c r="V65" s="8">
        <f>T65+U65</f>
        <v>0</v>
      </c>
      <c r="X65" s="8">
        <f t="shared" ref="X65:Y69" si="78">D65+H65+L65+P65+T65</f>
        <v>0</v>
      </c>
      <c r="Y65" s="8">
        <f t="shared" si="78"/>
        <v>0</v>
      </c>
      <c r="Z65" s="8">
        <f>X65+Y65</f>
        <v>0</v>
      </c>
    </row>
    <row r="66" spans="1:26" x14ac:dyDescent="0.25">
      <c r="B66" s="2" t="s">
        <v>433</v>
      </c>
      <c r="C66" s="6" t="s">
        <v>17</v>
      </c>
      <c r="L66" s="9">
        <v>68259</v>
      </c>
      <c r="M66" s="8">
        <f>-L66</f>
        <v>-68259</v>
      </c>
      <c r="N66" s="8">
        <f>L66+M66</f>
        <v>0</v>
      </c>
      <c r="X66" s="8">
        <f t="shared" ref="X66:X67" si="79">D66+H66+L66+P66+T66</f>
        <v>68259</v>
      </c>
      <c r="Y66" s="8">
        <f t="shared" ref="Y66:Y67" si="80">E66+I66+M66+Q66+U66</f>
        <v>-68259</v>
      </c>
      <c r="Z66" s="8">
        <f>X66+Y66</f>
        <v>0</v>
      </c>
    </row>
    <row r="67" spans="1:26" x14ac:dyDescent="0.25">
      <c r="B67" s="2" t="s">
        <v>635</v>
      </c>
      <c r="C67" s="6" t="s">
        <v>634</v>
      </c>
      <c r="D67" s="9">
        <v>37876</v>
      </c>
      <c r="E67" s="8">
        <f>-D67</f>
        <v>-37876</v>
      </c>
      <c r="F67" s="8">
        <f>D67+E67</f>
        <v>0</v>
      </c>
      <c r="X67" s="8">
        <f t="shared" si="79"/>
        <v>37876</v>
      </c>
      <c r="Y67" s="8">
        <f t="shared" si="80"/>
        <v>-37876</v>
      </c>
      <c r="Z67" s="8">
        <f>X67+Y67</f>
        <v>0</v>
      </c>
    </row>
    <row r="68" spans="1:26" ht="15.75" thickBot="1" x14ac:dyDescent="0.3">
      <c r="B68" s="2" t="s">
        <v>847</v>
      </c>
      <c r="C68" s="6" t="s">
        <v>642</v>
      </c>
      <c r="P68" s="9">
        <v>243975</v>
      </c>
      <c r="Q68" s="8">
        <f>-P68</f>
        <v>-243975</v>
      </c>
      <c r="R68" s="8">
        <f>P68+Q68</f>
        <v>0</v>
      </c>
      <c r="X68" s="8">
        <f t="shared" si="78"/>
        <v>243975</v>
      </c>
      <c r="Y68" s="8">
        <f t="shared" si="78"/>
        <v>-243975</v>
      </c>
      <c r="Z68" s="8">
        <f>X68+Y68</f>
        <v>0</v>
      </c>
    </row>
    <row r="69" spans="1:26" x14ac:dyDescent="0.25">
      <c r="B69" s="2" t="s">
        <v>427</v>
      </c>
      <c r="C69" s="2"/>
      <c r="D69" s="26">
        <f>SUM(D65:D68)</f>
        <v>37876</v>
      </c>
      <c r="E69" s="26">
        <f>SUM(E65:E68)</f>
        <v>-37876</v>
      </c>
      <c r="F69" s="26">
        <f>D69+E69</f>
        <v>0</v>
      </c>
      <c r="H69" s="26">
        <f>SUM(H65:H68)</f>
        <v>0</v>
      </c>
      <c r="I69" s="26">
        <f>SUM(I65:I68)</f>
        <v>0</v>
      </c>
      <c r="J69" s="26">
        <f>H69+I69</f>
        <v>0</v>
      </c>
      <c r="L69" s="26">
        <f>SUM(L65:L68)</f>
        <v>68259</v>
      </c>
      <c r="M69" s="26">
        <f>SUM(M65:M68)</f>
        <v>-68259</v>
      </c>
      <c r="N69" s="26">
        <f>L69+M69</f>
        <v>0</v>
      </c>
      <c r="P69" s="26">
        <f>SUM(P65:P68)</f>
        <v>243975</v>
      </c>
      <c r="Q69" s="26">
        <f>SUM(Q65:Q68)</f>
        <v>-243975</v>
      </c>
      <c r="R69" s="26">
        <f>P69+Q69</f>
        <v>0</v>
      </c>
      <c r="S69" s="1"/>
      <c r="T69" s="26">
        <f>SUM(T65:T68)</f>
        <v>0</v>
      </c>
      <c r="U69" s="26">
        <f>SUM(U65:U68)</f>
        <v>0</v>
      </c>
      <c r="V69" s="26">
        <f>T69+U69</f>
        <v>0</v>
      </c>
      <c r="X69" s="26">
        <f t="shared" si="78"/>
        <v>350110</v>
      </c>
      <c r="Y69" s="26">
        <f t="shared" si="78"/>
        <v>-350110</v>
      </c>
      <c r="Z69" s="26">
        <f>X69+Y69</f>
        <v>0</v>
      </c>
    </row>
    <row r="70" spans="1:26" x14ac:dyDescent="0.25">
      <c r="B70" s="2"/>
      <c r="C70" s="2"/>
    </row>
    <row r="71" spans="1:26" ht="15.75" thickBot="1" x14ac:dyDescent="0.3">
      <c r="B71" s="2" t="s">
        <v>445</v>
      </c>
      <c r="C71" s="2"/>
      <c r="D71" s="17">
        <f>ROUND(D62+D69,2)</f>
        <v>237876</v>
      </c>
      <c r="E71" s="17">
        <f>ROUND(E62+E69,2)</f>
        <v>393392.29</v>
      </c>
      <c r="F71" s="17">
        <f>D71+E71</f>
        <v>631268.29</v>
      </c>
      <c r="H71" s="17">
        <f>ROUND(H62+H69,2)</f>
        <v>94086.02</v>
      </c>
      <c r="I71" s="17">
        <f>ROUND(I62+I69,2)</f>
        <v>54968.97</v>
      </c>
      <c r="J71" s="17">
        <f>H71+I71</f>
        <v>149054.99</v>
      </c>
      <c r="L71" s="17">
        <f>ROUND(L62+L69,2)</f>
        <v>70196</v>
      </c>
      <c r="M71" s="17">
        <f>ROUND(M62+M69,2)</f>
        <v>16224.1</v>
      </c>
      <c r="N71" s="17">
        <f>L71+M71</f>
        <v>86420.1</v>
      </c>
      <c r="P71" s="17">
        <f>ROUND(P62+P69,2)</f>
        <v>361172.66</v>
      </c>
      <c r="Q71" s="17">
        <f>ROUND(Q62+Q69,2)</f>
        <v>108530.8</v>
      </c>
      <c r="R71" s="17">
        <f>P71+Q71</f>
        <v>469703.45999999996</v>
      </c>
      <c r="T71" s="17">
        <f>ROUND(T62+T69,2)</f>
        <v>0</v>
      </c>
      <c r="U71" s="17">
        <f>ROUND(U62+U69,2)</f>
        <v>0</v>
      </c>
      <c r="V71" s="17">
        <f>T71+U71</f>
        <v>0</v>
      </c>
      <c r="X71" s="17">
        <f>D71+H71+L71+P71+T71</f>
        <v>763330.67999999993</v>
      </c>
      <c r="Y71" s="17">
        <f>E71+I71+M71+Q71+U71</f>
        <v>573116.16000000003</v>
      </c>
      <c r="Z71" s="17">
        <f>X71+Y71</f>
        <v>1336446.8399999999</v>
      </c>
    </row>
    <row r="72" spans="1:26" ht="15.75" thickTop="1" x14ac:dyDescent="0.25">
      <c r="B72" s="2"/>
      <c r="C72" s="2"/>
    </row>
    <row r="73" spans="1:26" x14ac:dyDescent="0.25">
      <c r="B73" s="2"/>
      <c r="C73" s="2"/>
    </row>
    <row r="74" spans="1:26" x14ac:dyDescent="0.25">
      <c r="A74" s="35" t="s">
        <v>54</v>
      </c>
      <c r="B74" s="35"/>
      <c r="C74" s="19"/>
    </row>
    <row r="76" spans="1:26" x14ac:dyDescent="0.25">
      <c r="B76" s="5" t="s">
        <v>428</v>
      </c>
      <c r="C76" s="5"/>
      <c r="T76" s="1"/>
    </row>
    <row r="77" spans="1:26" x14ac:dyDescent="0.25">
      <c r="B77" s="2" t="s">
        <v>714</v>
      </c>
      <c r="C77" s="2"/>
      <c r="D77" s="9">
        <v>0</v>
      </c>
      <c r="E77" s="9">
        <f>670000/10</f>
        <v>67000</v>
      </c>
      <c r="F77" s="8">
        <f>D77+E77</f>
        <v>67000</v>
      </c>
      <c r="H77" s="9">
        <v>0</v>
      </c>
      <c r="I77" s="9">
        <f>670000/10</f>
        <v>67000</v>
      </c>
      <c r="J77" s="8">
        <f>H77+I77</f>
        <v>67000</v>
      </c>
      <c r="L77" s="9">
        <v>0</v>
      </c>
      <c r="M77" s="9">
        <f>670000/10</f>
        <v>67000</v>
      </c>
      <c r="N77" s="8">
        <f>L77+M77</f>
        <v>67000</v>
      </c>
      <c r="P77" s="9">
        <v>0</v>
      </c>
      <c r="Q77" s="9">
        <f>670000-E77-I77-M77</f>
        <v>469000</v>
      </c>
      <c r="R77" s="8">
        <f>P77+Q77</f>
        <v>469000</v>
      </c>
      <c r="T77" s="1"/>
      <c r="U77" s="1"/>
      <c r="V77" s="1"/>
      <c r="X77" s="8">
        <f t="shared" ref="X77:Z80" si="81">D77+H77+L77+P77+T77</f>
        <v>0</v>
      </c>
      <c r="Y77" s="8">
        <f t="shared" si="81"/>
        <v>670000</v>
      </c>
      <c r="Z77" s="8">
        <f t="shared" si="81"/>
        <v>670000</v>
      </c>
    </row>
    <row r="78" spans="1:26" x14ac:dyDescent="0.25">
      <c r="B78" s="2" t="s">
        <v>429</v>
      </c>
      <c r="C78" s="2"/>
      <c r="D78" s="9">
        <v>0</v>
      </c>
      <c r="E78" s="9">
        <f>67000*0.323</f>
        <v>21641</v>
      </c>
      <c r="F78" s="8">
        <f>D78+E78</f>
        <v>21641</v>
      </c>
      <c r="H78" s="9">
        <v>0</v>
      </c>
      <c r="I78" s="9">
        <f>67000*0.323</f>
        <v>21641</v>
      </c>
      <c r="J78" s="8">
        <f>H78+I78</f>
        <v>21641</v>
      </c>
      <c r="L78" s="9">
        <v>0</v>
      </c>
      <c r="M78" s="9">
        <f>67000*0.323</f>
        <v>21641</v>
      </c>
      <c r="N78" s="8">
        <f>L78+M78</f>
        <v>21641</v>
      </c>
      <c r="P78" s="9">
        <v>0</v>
      </c>
      <c r="Q78" s="9">
        <f>670000*0.323-E78-I78-M78</f>
        <v>151487</v>
      </c>
      <c r="R78" s="8">
        <f>P78+Q78</f>
        <v>151487</v>
      </c>
      <c r="X78" s="8">
        <f t="shared" si="81"/>
        <v>0</v>
      </c>
      <c r="Y78" s="8">
        <f t="shared" si="81"/>
        <v>216410</v>
      </c>
      <c r="Z78" s="8">
        <f t="shared" si="81"/>
        <v>216410</v>
      </c>
    </row>
    <row r="79" spans="1:26" ht="15.75" thickBot="1" x14ac:dyDescent="0.3">
      <c r="B79" s="2" t="s">
        <v>430</v>
      </c>
      <c r="C79" s="2"/>
      <c r="D79" s="14">
        <v>0</v>
      </c>
      <c r="E79" s="14">
        <f>1000/10</f>
        <v>100</v>
      </c>
      <c r="F79" s="15">
        <f>D79+E79</f>
        <v>100</v>
      </c>
      <c r="H79" s="14">
        <v>0</v>
      </c>
      <c r="I79" s="14">
        <f>1000/10</f>
        <v>100</v>
      </c>
      <c r="J79" s="15">
        <f>H79+I79</f>
        <v>100</v>
      </c>
      <c r="L79" s="14">
        <v>0</v>
      </c>
      <c r="M79" s="14">
        <f>1000/10</f>
        <v>100</v>
      </c>
      <c r="N79" s="15">
        <f>L79+M79</f>
        <v>100</v>
      </c>
      <c r="P79" s="14">
        <v>0</v>
      </c>
      <c r="Q79" s="14">
        <f>1000-E79-I79-M79</f>
        <v>700</v>
      </c>
      <c r="R79" s="15">
        <f>P79+Q79</f>
        <v>700</v>
      </c>
      <c r="X79" s="15">
        <f t="shared" si="81"/>
        <v>0</v>
      </c>
      <c r="Y79" s="15">
        <f t="shared" si="81"/>
        <v>1000</v>
      </c>
      <c r="Z79" s="15">
        <f t="shared" si="81"/>
        <v>1000</v>
      </c>
    </row>
    <row r="80" spans="1:26" x14ac:dyDescent="0.25">
      <c r="B80" s="2" t="s">
        <v>431</v>
      </c>
      <c r="C80" s="2"/>
      <c r="D80" s="26">
        <f>SUM(D77:D79)</f>
        <v>0</v>
      </c>
      <c r="E80" s="26">
        <f>SUM(E77:E79)</f>
        <v>88741</v>
      </c>
      <c r="F80" s="26">
        <f>D80+E80</f>
        <v>88741</v>
      </c>
      <c r="H80" s="26">
        <f>SUM(H77:H79)</f>
        <v>0</v>
      </c>
      <c r="I80" s="26">
        <f>SUM(I77:I79)</f>
        <v>88741</v>
      </c>
      <c r="J80" s="26">
        <f>H80+I80</f>
        <v>88741</v>
      </c>
      <c r="L80" s="26">
        <f>SUM(L77:L79)</f>
        <v>0</v>
      </c>
      <c r="M80" s="26">
        <f>SUM(M77:M79)</f>
        <v>88741</v>
      </c>
      <c r="N80" s="26">
        <f>L80+M80</f>
        <v>88741</v>
      </c>
      <c r="P80" s="26">
        <f>SUM(P77:P79)</f>
        <v>0</v>
      </c>
      <c r="Q80" s="26">
        <f>SUM(Q77:Q79)</f>
        <v>621187</v>
      </c>
      <c r="R80" s="26">
        <f>P80+Q80</f>
        <v>621187</v>
      </c>
      <c r="S80" s="1"/>
      <c r="T80" s="26">
        <f>SUM(T77:T79)</f>
        <v>0</v>
      </c>
      <c r="U80" s="26">
        <f>SUM(U77:U79)</f>
        <v>0</v>
      </c>
      <c r="V80" s="26">
        <f>T80+U80</f>
        <v>0</v>
      </c>
      <c r="X80" s="26">
        <f t="shared" si="81"/>
        <v>0</v>
      </c>
      <c r="Y80" s="26">
        <f t="shared" si="81"/>
        <v>887410</v>
      </c>
      <c r="Z80" s="26">
        <f t="shared" si="81"/>
        <v>887410</v>
      </c>
    </row>
    <row r="81" spans="2:26" x14ac:dyDescent="0.25">
      <c r="B81" s="2"/>
      <c r="C81" s="2"/>
    </row>
    <row r="82" spans="2:26" x14ac:dyDescent="0.25">
      <c r="B82" s="5" t="s">
        <v>432</v>
      </c>
      <c r="C82" s="5"/>
      <c r="T82" s="1"/>
    </row>
    <row r="83" spans="2:26" x14ac:dyDescent="0.25">
      <c r="B83" s="2" t="s">
        <v>7</v>
      </c>
      <c r="C83" s="5"/>
      <c r="E83" s="1"/>
      <c r="F83" s="1"/>
      <c r="H83" s="1"/>
      <c r="I83" s="1"/>
      <c r="J83" s="1"/>
      <c r="L83" s="1"/>
      <c r="M83" s="1"/>
      <c r="N83" s="1"/>
      <c r="P83" s="8">
        <v>0</v>
      </c>
      <c r="Q83" s="8">
        <f>-T83</f>
        <v>-15500</v>
      </c>
      <c r="R83" s="8">
        <f>P83+Q83</f>
        <v>-15500</v>
      </c>
      <c r="T83" s="9">
        <f>15500</f>
        <v>15500</v>
      </c>
      <c r="U83" s="9">
        <v>0</v>
      </c>
      <c r="V83" s="8">
        <f>T83+U83</f>
        <v>15500</v>
      </c>
      <c r="X83" s="8">
        <f t="shared" ref="X83:Z84" si="82">D83+H83+L83+P83+T83</f>
        <v>15500</v>
      </c>
      <c r="Y83" s="8">
        <f t="shared" si="82"/>
        <v>-15500</v>
      </c>
      <c r="Z83" s="8">
        <f t="shared" si="82"/>
        <v>0</v>
      </c>
    </row>
    <row r="84" spans="2:26" x14ac:dyDescent="0.25">
      <c r="B84" s="2" t="s">
        <v>52</v>
      </c>
      <c r="C84" s="5"/>
      <c r="E84" s="1"/>
      <c r="F84" s="1"/>
      <c r="H84" s="1"/>
      <c r="I84" s="1"/>
      <c r="J84" s="1"/>
      <c r="M84" s="1"/>
      <c r="N84" s="1"/>
      <c r="P84" s="8">
        <v>0</v>
      </c>
      <c r="Q84" s="8">
        <f>-T84</f>
        <v>-5000</v>
      </c>
      <c r="R84" s="8">
        <f>P84+Q84</f>
        <v>-5000</v>
      </c>
      <c r="T84" s="9">
        <f>2500+2500</f>
        <v>5000</v>
      </c>
      <c r="U84" s="9">
        <v>0</v>
      </c>
      <c r="V84" s="8">
        <f>T84+U84</f>
        <v>5000</v>
      </c>
      <c r="X84" s="8">
        <f t="shared" si="82"/>
        <v>5000</v>
      </c>
      <c r="Y84" s="8">
        <f t="shared" si="82"/>
        <v>-5000</v>
      </c>
      <c r="Z84" s="8">
        <f t="shared" si="82"/>
        <v>0</v>
      </c>
    </row>
    <row r="85" spans="2:26" x14ac:dyDescent="0.25">
      <c r="B85" s="2" t="s">
        <v>433</v>
      </c>
      <c r="C85" s="6" t="s">
        <v>17</v>
      </c>
      <c r="L85" s="9">
        <f>145000</f>
        <v>145000</v>
      </c>
      <c r="M85" s="8">
        <f>-L85</f>
        <v>-145000</v>
      </c>
      <c r="N85" s="8">
        <f>L85+M85</f>
        <v>0</v>
      </c>
      <c r="P85" s="9">
        <f>204150-145000</f>
        <v>59150</v>
      </c>
      <c r="Q85" s="8">
        <f>-P85</f>
        <v>-59150</v>
      </c>
      <c r="R85" s="8">
        <f>P85+Q85</f>
        <v>0</v>
      </c>
      <c r="X85" s="8">
        <f t="shared" ref="X85:Z98" si="83">D85+H85+L85+P85+T85</f>
        <v>204150</v>
      </c>
      <c r="Y85" s="8">
        <f t="shared" si="83"/>
        <v>-204150</v>
      </c>
      <c r="Z85" s="8">
        <f t="shared" si="83"/>
        <v>0</v>
      </c>
    </row>
    <row r="86" spans="2:26" x14ac:dyDescent="0.25">
      <c r="B86" s="2" t="s">
        <v>789</v>
      </c>
      <c r="C86" s="6" t="s">
        <v>629</v>
      </c>
      <c r="H86" s="8">
        <v>65000</v>
      </c>
      <c r="I86" s="8">
        <f>-H86</f>
        <v>-65000</v>
      </c>
      <c r="J86" s="8">
        <f>H86+I86</f>
        <v>0</v>
      </c>
      <c r="L86" s="1"/>
      <c r="M86" s="1"/>
      <c r="X86" s="8">
        <f t="shared" si="83"/>
        <v>65000</v>
      </c>
      <c r="Y86" s="8">
        <f t="shared" si="83"/>
        <v>-65000</v>
      </c>
      <c r="Z86" s="8">
        <f t="shared" si="83"/>
        <v>0</v>
      </c>
    </row>
    <row r="87" spans="2:26" x14ac:dyDescent="0.25">
      <c r="B87" s="2" t="s">
        <v>631</v>
      </c>
      <c r="C87" s="6" t="s">
        <v>630</v>
      </c>
      <c r="H87" s="1"/>
      <c r="I87" s="1"/>
      <c r="J87" s="1"/>
      <c r="L87" s="1"/>
      <c r="M87" s="1"/>
      <c r="P87" s="8">
        <v>20000</v>
      </c>
      <c r="Q87" s="8">
        <f>-P87</f>
        <v>-20000</v>
      </c>
      <c r="R87" s="8">
        <f>P87+Q87</f>
        <v>0</v>
      </c>
      <c r="X87" s="8">
        <f t="shared" si="83"/>
        <v>20000</v>
      </c>
      <c r="Y87" s="8">
        <f t="shared" si="83"/>
        <v>-20000</v>
      </c>
      <c r="Z87" s="8">
        <f t="shared" si="83"/>
        <v>0</v>
      </c>
    </row>
    <row r="88" spans="2:26" x14ac:dyDescent="0.25">
      <c r="B88" s="2" t="s">
        <v>632</v>
      </c>
      <c r="C88" s="6" t="s">
        <v>633</v>
      </c>
      <c r="H88" s="1"/>
      <c r="I88" s="1"/>
      <c r="J88" s="1"/>
      <c r="L88" s="1"/>
      <c r="M88" s="1"/>
      <c r="P88" s="8">
        <v>40000</v>
      </c>
      <c r="Q88" s="8">
        <f>-P88</f>
        <v>-40000</v>
      </c>
      <c r="R88" s="8">
        <f>P88+Q88</f>
        <v>0</v>
      </c>
      <c r="X88" s="8">
        <f t="shared" si="83"/>
        <v>40000</v>
      </c>
      <c r="Y88" s="8">
        <f t="shared" si="83"/>
        <v>-40000</v>
      </c>
      <c r="Z88" s="8">
        <f t="shared" si="83"/>
        <v>0</v>
      </c>
    </row>
    <row r="89" spans="2:26" x14ac:dyDescent="0.25">
      <c r="B89" s="2" t="s">
        <v>635</v>
      </c>
      <c r="C89" s="6" t="s">
        <v>634</v>
      </c>
      <c r="D89" s="9">
        <v>75000</v>
      </c>
      <c r="E89" s="8">
        <f>-D89</f>
        <v>-75000</v>
      </c>
      <c r="F89" s="8">
        <f>D89+E89</f>
        <v>0</v>
      </c>
      <c r="H89" s="1"/>
      <c r="I89" s="1"/>
      <c r="J89" s="1"/>
      <c r="L89" s="1"/>
      <c r="M89" s="1"/>
      <c r="X89" s="8">
        <f t="shared" si="83"/>
        <v>75000</v>
      </c>
      <c r="Y89" s="8">
        <f t="shared" si="83"/>
        <v>-75000</v>
      </c>
      <c r="Z89" s="8">
        <f t="shared" si="83"/>
        <v>0</v>
      </c>
    </row>
    <row r="90" spans="2:26" x14ac:dyDescent="0.25">
      <c r="B90" s="2" t="s">
        <v>512</v>
      </c>
      <c r="C90" s="6" t="s">
        <v>636</v>
      </c>
      <c r="H90" s="1"/>
      <c r="I90" s="1"/>
      <c r="J90" s="1"/>
      <c r="L90" s="8">
        <v>2000</v>
      </c>
      <c r="M90" s="8">
        <f>-L90</f>
        <v>-2000</v>
      </c>
      <c r="N90" s="8">
        <f>L90+M90</f>
        <v>0</v>
      </c>
      <c r="P90" s="8">
        <v>28000</v>
      </c>
      <c r="Q90" s="8">
        <f>-P90</f>
        <v>-28000</v>
      </c>
      <c r="R90" s="8">
        <f>P90+Q90</f>
        <v>0</v>
      </c>
      <c r="X90" s="8">
        <f t="shared" si="83"/>
        <v>30000</v>
      </c>
      <c r="Y90" s="8">
        <f t="shared" si="83"/>
        <v>-30000</v>
      </c>
      <c r="Z90" s="8">
        <f t="shared" si="83"/>
        <v>0</v>
      </c>
    </row>
    <row r="91" spans="2:26" x14ac:dyDescent="0.25">
      <c r="B91" s="2" t="s">
        <v>637</v>
      </c>
      <c r="C91" s="6" t="s">
        <v>638</v>
      </c>
      <c r="H91" s="1"/>
      <c r="I91" s="1"/>
      <c r="J91" s="1"/>
      <c r="L91" s="1"/>
      <c r="M91" s="1"/>
      <c r="P91" s="8">
        <v>19800</v>
      </c>
      <c r="Q91" s="8">
        <f>-P91</f>
        <v>-19800</v>
      </c>
      <c r="R91" s="8">
        <f>P91+Q91</f>
        <v>0</v>
      </c>
      <c r="X91" s="8">
        <f t="shared" si="83"/>
        <v>19800</v>
      </c>
      <c r="Y91" s="8">
        <f t="shared" si="83"/>
        <v>-19800</v>
      </c>
      <c r="Z91" s="8">
        <f t="shared" si="83"/>
        <v>0</v>
      </c>
    </row>
    <row r="92" spans="2:26" x14ac:dyDescent="0.25">
      <c r="B92" s="2" t="s">
        <v>628</v>
      </c>
      <c r="C92" s="6" t="s">
        <v>639</v>
      </c>
      <c r="D92" s="9">
        <v>51617</v>
      </c>
      <c r="E92" s="8">
        <f>-D92</f>
        <v>-51617</v>
      </c>
      <c r="F92" s="8">
        <f>D92+E92</f>
        <v>0</v>
      </c>
      <c r="H92" s="1"/>
      <c r="I92" s="1"/>
      <c r="J92" s="1"/>
      <c r="L92" s="1"/>
      <c r="M92" s="1"/>
      <c r="X92" s="8">
        <f t="shared" si="83"/>
        <v>51617</v>
      </c>
      <c r="Y92" s="8">
        <f t="shared" si="83"/>
        <v>-51617</v>
      </c>
      <c r="Z92" s="8">
        <f t="shared" si="83"/>
        <v>0</v>
      </c>
    </row>
    <row r="93" spans="2:26" x14ac:dyDescent="0.25">
      <c r="B93" s="2" t="s">
        <v>641</v>
      </c>
      <c r="C93" s="6" t="s">
        <v>640</v>
      </c>
      <c r="H93" s="1"/>
      <c r="I93" s="1"/>
      <c r="J93" s="1"/>
      <c r="L93" s="8">
        <v>10000</v>
      </c>
      <c r="M93" s="8">
        <f>-L93</f>
        <v>-10000</v>
      </c>
      <c r="N93" s="8">
        <f>L93+M93</f>
        <v>0</v>
      </c>
      <c r="P93" s="8">
        <v>170232</v>
      </c>
      <c r="Q93" s="8">
        <f>-P93</f>
        <v>-170232</v>
      </c>
      <c r="R93" s="8">
        <f>P93+Q93</f>
        <v>0</v>
      </c>
      <c r="X93" s="8">
        <f t="shared" si="83"/>
        <v>180232</v>
      </c>
      <c r="Y93" s="8">
        <f t="shared" si="83"/>
        <v>-180232</v>
      </c>
      <c r="Z93" s="8">
        <f t="shared" si="83"/>
        <v>0</v>
      </c>
    </row>
    <row r="94" spans="2:26" x14ac:dyDescent="0.25">
      <c r="B94" s="2" t="s">
        <v>847</v>
      </c>
      <c r="C94" s="6" t="s">
        <v>642</v>
      </c>
      <c r="H94" s="1"/>
      <c r="I94" s="1"/>
      <c r="J94" s="1"/>
      <c r="L94" s="1"/>
      <c r="M94" s="1"/>
      <c r="P94" s="8">
        <v>350000</v>
      </c>
      <c r="Q94" s="8">
        <f>-P94</f>
        <v>-350000</v>
      </c>
      <c r="R94" s="8">
        <f>P94+Q94</f>
        <v>0</v>
      </c>
      <c r="X94" s="8">
        <f t="shared" si="83"/>
        <v>350000</v>
      </c>
      <c r="Y94" s="8">
        <f t="shared" si="83"/>
        <v>-350000</v>
      </c>
      <c r="Z94" s="8">
        <f t="shared" si="83"/>
        <v>0</v>
      </c>
    </row>
    <row r="95" spans="2:26" x14ac:dyDescent="0.25">
      <c r="B95" s="2" t="s">
        <v>644</v>
      </c>
      <c r="C95" s="6" t="s">
        <v>643</v>
      </c>
      <c r="H95" s="1"/>
      <c r="I95" s="1"/>
      <c r="J95" s="1"/>
      <c r="L95" s="1"/>
      <c r="M95" s="1"/>
      <c r="P95" s="8">
        <v>157480</v>
      </c>
      <c r="Q95" s="8">
        <f>-P95</f>
        <v>-157480</v>
      </c>
      <c r="R95" s="8">
        <f>P95+Q95</f>
        <v>0</v>
      </c>
      <c r="X95" s="8">
        <f t="shared" si="83"/>
        <v>157480</v>
      </c>
      <c r="Y95" s="8">
        <f t="shared" si="83"/>
        <v>-157480</v>
      </c>
      <c r="Z95" s="8">
        <f t="shared" si="83"/>
        <v>0</v>
      </c>
    </row>
    <row r="96" spans="2:26" x14ac:dyDescent="0.25">
      <c r="B96" s="2" t="s">
        <v>646</v>
      </c>
      <c r="C96" s="6" t="s">
        <v>645</v>
      </c>
      <c r="H96" s="8">
        <v>3000</v>
      </c>
      <c r="I96" s="8">
        <f>-H96</f>
        <v>-3000</v>
      </c>
      <c r="J96" s="8">
        <f>H96+I96</f>
        <v>0</v>
      </c>
      <c r="L96" s="1"/>
      <c r="M96" s="1"/>
      <c r="X96" s="8">
        <f t="shared" si="83"/>
        <v>3000</v>
      </c>
      <c r="Y96" s="8">
        <f t="shared" si="83"/>
        <v>-3000</v>
      </c>
      <c r="Z96" s="8">
        <f t="shared" si="83"/>
        <v>0</v>
      </c>
    </row>
    <row r="97" spans="2:26" ht="15.75" thickBot="1" x14ac:dyDescent="0.3">
      <c r="B97" s="2" t="s">
        <v>686</v>
      </c>
      <c r="C97" s="6" t="s">
        <v>647</v>
      </c>
      <c r="H97" s="1"/>
      <c r="I97" s="1"/>
      <c r="J97" s="1"/>
      <c r="L97" s="1"/>
      <c r="M97" s="1"/>
      <c r="P97" s="8">
        <v>0</v>
      </c>
      <c r="Q97" s="8">
        <f>-P97</f>
        <v>0</v>
      </c>
      <c r="R97" s="8">
        <f>P97+Q97</f>
        <v>0</v>
      </c>
      <c r="X97" s="8">
        <f t="shared" si="83"/>
        <v>0</v>
      </c>
      <c r="Y97" s="8">
        <f t="shared" si="83"/>
        <v>0</v>
      </c>
      <c r="Z97" s="8">
        <f t="shared" si="83"/>
        <v>0</v>
      </c>
    </row>
    <row r="98" spans="2:26" x14ac:dyDescent="0.25">
      <c r="B98" s="2" t="s">
        <v>434</v>
      </c>
      <c r="C98" s="2"/>
      <c r="D98" s="26">
        <f>SUM(D83:D97)</f>
        <v>126617</v>
      </c>
      <c r="E98" s="26">
        <f>SUM(E83:E97)</f>
        <v>-126617</v>
      </c>
      <c r="F98" s="26">
        <f>D98+E98</f>
        <v>0</v>
      </c>
      <c r="H98" s="26">
        <f>SUM(H83:H97)</f>
        <v>68000</v>
      </c>
      <c r="I98" s="26">
        <f>SUM(I83:I97)</f>
        <v>-68000</v>
      </c>
      <c r="J98" s="26">
        <f>H98+I98</f>
        <v>0</v>
      </c>
      <c r="L98" s="26">
        <f>SUM(L83:L97)</f>
        <v>157000</v>
      </c>
      <c r="M98" s="26">
        <f>SUM(M83:M97)</f>
        <v>-157000</v>
      </c>
      <c r="N98" s="26">
        <f>L98+M98</f>
        <v>0</v>
      </c>
      <c r="P98" s="26">
        <f>SUM(P83:P97)</f>
        <v>844662</v>
      </c>
      <c r="Q98" s="26">
        <f>SUM(Q83:Q97)</f>
        <v>-865162</v>
      </c>
      <c r="R98" s="26">
        <f>P98+Q98</f>
        <v>-20500</v>
      </c>
      <c r="S98" s="1"/>
      <c r="T98" s="26">
        <f>SUM(T83:T97)</f>
        <v>20500</v>
      </c>
      <c r="U98" s="26">
        <f>SUM(U83:U97)</f>
        <v>0</v>
      </c>
      <c r="V98" s="26">
        <f>T98+U98</f>
        <v>20500</v>
      </c>
      <c r="X98" s="26">
        <f t="shared" si="83"/>
        <v>1216779</v>
      </c>
      <c r="Y98" s="26">
        <f t="shared" si="83"/>
        <v>-1216779</v>
      </c>
      <c r="Z98" s="26">
        <f t="shared" si="83"/>
        <v>0</v>
      </c>
    </row>
    <row r="99" spans="2:26" x14ac:dyDescent="0.25">
      <c r="B99" s="2"/>
      <c r="C99" s="2"/>
    </row>
    <row r="100" spans="2:26" x14ac:dyDescent="0.25">
      <c r="B100" s="2" t="s">
        <v>435</v>
      </c>
      <c r="C100" s="2"/>
      <c r="D100" s="8">
        <f>D80+D98</f>
        <v>126617</v>
      </c>
      <c r="E100" s="8">
        <f>E80+E98</f>
        <v>-37876</v>
      </c>
      <c r="F100" s="8">
        <f>D100+E100</f>
        <v>88741</v>
      </c>
      <c r="H100" s="8">
        <f>H80+H98</f>
        <v>68000</v>
      </c>
      <c r="I100" s="8">
        <f>I80+I98</f>
        <v>20741</v>
      </c>
      <c r="J100" s="8">
        <f>H100+I100</f>
        <v>88741</v>
      </c>
      <c r="L100" s="8">
        <f>L80+L98</f>
        <v>157000</v>
      </c>
      <c r="M100" s="8">
        <f>M80+M98</f>
        <v>-68259</v>
      </c>
      <c r="N100" s="8">
        <f>L100+M100</f>
        <v>88741</v>
      </c>
      <c r="P100" s="8">
        <f>P80+P98</f>
        <v>844662</v>
      </c>
      <c r="Q100" s="8">
        <f>Q80+Q98</f>
        <v>-243975</v>
      </c>
      <c r="R100" s="8">
        <f>P100+Q100</f>
        <v>600687</v>
      </c>
      <c r="T100" s="8">
        <f>T80+T98</f>
        <v>20500</v>
      </c>
      <c r="U100" s="8">
        <f>U80+U98</f>
        <v>0</v>
      </c>
      <c r="V100" s="8">
        <f>T100+U100</f>
        <v>20500</v>
      </c>
      <c r="X100" s="8">
        <f>D100+H100+L100+P100+T100</f>
        <v>1216779</v>
      </c>
      <c r="Y100" s="8">
        <f>E100+I100+M100+Q100+U100</f>
        <v>-329369</v>
      </c>
      <c r="Z100" s="8">
        <f>F100+J100+N100+R100+V100</f>
        <v>887410</v>
      </c>
    </row>
    <row r="101" spans="2:26" x14ac:dyDescent="0.25">
      <c r="B101" s="2"/>
      <c r="C101" s="2"/>
    </row>
    <row r="103" spans="2:26" x14ac:dyDescent="0.25">
      <c r="D103" t="s">
        <v>72</v>
      </c>
    </row>
    <row r="104" spans="2:26" x14ac:dyDescent="0.25">
      <c r="D104" s="2"/>
    </row>
    <row r="105" spans="2:26" x14ac:dyDescent="0.25">
      <c r="D105" s="2" t="s">
        <v>58</v>
      </c>
      <c r="E105" t="str">
        <f>"An encumbrance of " &amp; TEXT(-E100,"$0,000.00") &amp; " will be needed to the Community Housing Reserve's $75,000.00 Housing Site Assessment project to insure no shortfall occurs in the Community Housing Reserve account in FY2022."</f>
        <v>An encumbrance of $37,876.00 will be needed to the Community Housing Reserve's $75,000.00 Housing Site Assessment project to insure no shortfall occurs in the Community Housing Reserve account in FY2022.</v>
      </c>
    </row>
    <row r="106" spans="2:26" x14ac:dyDescent="0.25">
      <c r="D106" s="2" t="s">
        <v>60</v>
      </c>
      <c r="E106" t="str">
        <f>"An encumbrance of " &amp; TEXT(-M100,"$0,000.00") &amp; " will need to be made to the Open Space Reserve $145,000.00 Surrenden Farm debt service payment in FY2021 to insure no shortfall occurs in the Open Space Reserve account in FY2022."</f>
        <v>An encumbrance of $68,259.00 will need to be made to the Open Space Reserve $145,000.00 Surrenden Farm debt service payment in FY2021 to insure no shortfall occurs in the Open Space Reserve account in FY2022.</v>
      </c>
    </row>
    <row r="107" spans="2:26" x14ac:dyDescent="0.25">
      <c r="D107" s="2" t="s">
        <v>109</v>
      </c>
      <c r="E107" t="str">
        <f>"An encumbrance of " &amp; TEXT(-Q100,"$0,000.00") &amp; " will need to be made to the Unallocated Reserve's $350,000.00 FY2022 Conservation Fund project in FY2021 to insure no shortfall occurs in the Unallocated Reserve account in FY2022."</f>
        <v>An encumbrance of $243,975.00 will need to be made to the Unallocated Reserve's $350,000.00 FY2022 Conservation Fund project in FY2021 to insure no shortfall occurs in the Unallocated Reserve account in FY2022.</v>
      </c>
    </row>
    <row r="111" spans="2:26" x14ac:dyDescent="0.25">
      <c r="D111" t="s">
        <v>436</v>
      </c>
    </row>
    <row r="113" spans="4:18" x14ac:dyDescent="0.25">
      <c r="D113" s="36" t="s">
        <v>3</v>
      </c>
      <c r="E113" s="36"/>
      <c r="F113" s="36"/>
      <c r="H113" s="36" t="s">
        <v>4</v>
      </c>
      <c r="I113" s="36"/>
      <c r="J113" s="36"/>
      <c r="L113" s="36" t="s">
        <v>2</v>
      </c>
      <c r="M113" s="36"/>
      <c r="N113" s="36"/>
      <c r="P113" s="36" t="s">
        <v>13</v>
      </c>
      <c r="Q113" s="36"/>
      <c r="R113" s="36"/>
    </row>
    <row r="114" spans="4:18" x14ac:dyDescent="0.25">
      <c r="D114" s="6"/>
      <c r="E114" s="6"/>
      <c r="F114" s="6"/>
      <c r="H114" s="6"/>
      <c r="I114" s="6"/>
      <c r="J114" s="6"/>
    </row>
    <row r="115" spans="4:18" x14ac:dyDescent="0.25">
      <c r="E115" s="6" t="s">
        <v>110</v>
      </c>
      <c r="F115" s="6" t="s">
        <v>111</v>
      </c>
      <c r="I115" s="6" t="s">
        <v>110</v>
      </c>
      <c r="J115" s="6" t="s">
        <v>111</v>
      </c>
      <c r="M115" s="6" t="s">
        <v>110</v>
      </c>
      <c r="N115" s="6" t="s">
        <v>111</v>
      </c>
      <c r="Q115" s="6" t="s">
        <v>110</v>
      </c>
      <c r="R115" s="6" t="s">
        <v>111</v>
      </c>
    </row>
    <row r="116" spans="4:18" x14ac:dyDescent="0.25">
      <c r="E116" s="6"/>
      <c r="F116" s="6"/>
    </row>
    <row r="117" spans="4:18" x14ac:dyDescent="0.25">
      <c r="E117" s="2" t="s">
        <v>628</v>
      </c>
      <c r="F117" s="11">
        <v>0</v>
      </c>
      <c r="I117" s="2" t="s">
        <v>410</v>
      </c>
      <c r="J117" s="9">
        <v>23537.38</v>
      </c>
      <c r="M117" s="2" t="s">
        <v>402</v>
      </c>
      <c r="N117" s="9">
        <v>11510</v>
      </c>
      <c r="Q117" s="2" t="s">
        <v>582</v>
      </c>
      <c r="R117" s="9">
        <v>145330</v>
      </c>
    </row>
    <row r="118" spans="4:18" x14ac:dyDescent="0.25">
      <c r="E118" s="2" t="s">
        <v>113</v>
      </c>
      <c r="F118" s="13">
        <f>SUM(F117:F117)</f>
        <v>0</v>
      </c>
      <c r="I118" s="2" t="s">
        <v>306</v>
      </c>
      <c r="J118" s="9">
        <v>23927.5</v>
      </c>
      <c r="M118" s="2" t="s">
        <v>113</v>
      </c>
      <c r="N118" s="13">
        <f>SUM(N117:N117)</f>
        <v>11510</v>
      </c>
      <c r="Q118" s="2" t="s">
        <v>382</v>
      </c>
      <c r="R118" s="9">
        <f>18438.87-5754.54</f>
        <v>12684.329999999998</v>
      </c>
    </row>
    <row r="119" spans="4:18" x14ac:dyDescent="0.25">
      <c r="I119" s="2" t="s">
        <v>582</v>
      </c>
      <c r="J119" s="9">
        <v>71693.03</v>
      </c>
      <c r="Q119" s="2" t="s">
        <v>380</v>
      </c>
      <c r="R119" s="9">
        <v>9225.66</v>
      </c>
    </row>
    <row r="120" spans="4:18" x14ac:dyDescent="0.25">
      <c r="I120" s="2" t="s">
        <v>438</v>
      </c>
      <c r="J120" s="9">
        <v>40510</v>
      </c>
      <c r="Q120" s="2" t="s">
        <v>113</v>
      </c>
      <c r="R120" s="13">
        <f>SUM(R117:R119)</f>
        <v>167239.99</v>
      </c>
    </row>
    <row r="121" spans="4:18" x14ac:dyDescent="0.25">
      <c r="I121" s="2" t="s">
        <v>113</v>
      </c>
      <c r="J121" s="13">
        <f>SUM(J117:J120)</f>
        <v>159667.91</v>
      </c>
    </row>
    <row r="123" spans="4:18" x14ac:dyDescent="0.25">
      <c r="D123" s="6" t="s">
        <v>118</v>
      </c>
      <c r="E123" s="1"/>
    </row>
    <row r="124" spans="4:18" x14ac:dyDescent="0.25">
      <c r="D124" s="2" t="s">
        <v>58</v>
      </c>
      <c r="E124" t="s">
        <v>656</v>
      </c>
    </row>
    <row r="125" spans="4:18" x14ac:dyDescent="0.25">
      <c r="D125" s="2" t="s">
        <v>60</v>
      </c>
      <c r="E125" t="str">
        <f>"FY2022 local surtax revenue will be " &amp; TEXT(Z77,"$#,0")</f>
        <v>FY2022 local surtax revenue will be $670,000</v>
      </c>
    </row>
    <row r="126" spans="4:18" x14ac:dyDescent="0.25">
      <c r="D126" s="2" t="s">
        <v>109</v>
      </c>
      <c r="E126" t="str">
        <f>"FY2022 state match revenue (expected on 15 November 2021) will be " &amp; TEXT(Z78,"$#,0.00") &amp; " or " &amp; TEXT(Z78/Z10,"0.0%") &amp; " of expected FY2022 local surtax revenue"</f>
        <v>FY2022 state match revenue (expected on 15 November 2021) will be $216,410.00 or 26.5% of expected FY2022 local surtax revenue</v>
      </c>
    </row>
    <row r="127" spans="4:18" x14ac:dyDescent="0.25">
      <c r="D127" s="2" t="s">
        <v>119</v>
      </c>
      <c r="E127" t="str">
        <f>"FY2022 interest earned will be " &amp; TEXT(Z79,"$#,0.00")</f>
        <v>FY2022 interest earned will be $1,000.00</v>
      </c>
    </row>
    <row r="128" spans="4:18" x14ac:dyDescent="0.25">
      <c r="D128" s="2"/>
    </row>
    <row r="129" spans="4:10" x14ac:dyDescent="0.25">
      <c r="D129" s="2"/>
    </row>
    <row r="130" spans="4:10" x14ac:dyDescent="0.25">
      <c r="D130" s="2"/>
    </row>
    <row r="131" spans="4:10" x14ac:dyDescent="0.25">
      <c r="D131" s="2"/>
    </row>
    <row r="132" spans="4:10" x14ac:dyDescent="0.25">
      <c r="D132" s="2"/>
    </row>
    <row r="133" spans="4:10" x14ac:dyDescent="0.25">
      <c r="D133" s="2"/>
    </row>
    <row r="134" spans="4:10" x14ac:dyDescent="0.25">
      <c r="D134" s="2"/>
    </row>
    <row r="135" spans="4:10" x14ac:dyDescent="0.25">
      <c r="D135" s="2"/>
    </row>
    <row r="136" spans="4:10" x14ac:dyDescent="0.25">
      <c r="D136" s="2"/>
    </row>
    <row r="138" spans="4:10" x14ac:dyDescent="0.25">
      <c r="I138" s="2"/>
      <c r="J138" s="1"/>
    </row>
  </sheetData>
  <mergeCells count="11">
    <mergeCell ref="A74:B74"/>
    <mergeCell ref="D113:F113"/>
    <mergeCell ref="H113:J113"/>
    <mergeCell ref="L113:N113"/>
    <mergeCell ref="P113:R113"/>
    <mergeCell ref="X4:Z4"/>
    <mergeCell ref="D4:F4"/>
    <mergeCell ref="H4:J4"/>
    <mergeCell ref="L4:N4"/>
    <mergeCell ref="P4:R4"/>
    <mergeCell ref="T4:V4"/>
  </mergeCells>
  <printOptions horizontalCentered="1"/>
  <pageMargins left="0.25" right="0.25" top="0.75" bottom="0.75" header="0.3" footer="0.3"/>
  <pageSetup paperSize="5" scale="55" fitToHeight="0" orientation="landscape" r:id="rId1"/>
  <headerFooter>
    <oddFooter>&amp;L&amp;F&amp;CPage &amp;P of &amp;N&amp;R23 September 2021</oddFooter>
  </headerFooter>
  <rowBreaks count="1" manualBreakCount="1">
    <brk id="73"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Z107"/>
  <sheetViews>
    <sheetView zoomScaleNormal="100" workbookViewId="0">
      <pane xSplit="2" ySplit="6" topLeftCell="C60" activePane="bottomRight" state="frozen"/>
      <selection pane="topRight"/>
      <selection pane="bottomLeft"/>
      <selection pane="bottomRight" activeCell="A77" sqref="A77"/>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6" width="14.7109375" customWidth="1"/>
    <col min="17" max="17" width="12.7109375" customWidth="1"/>
    <col min="18" max="18" width="14.7109375" customWidth="1"/>
    <col min="19" max="19" width="2.7109375" customWidth="1"/>
    <col min="20" max="22" width="12.7109375" customWidth="1"/>
    <col min="23" max="23" width="2.7109375" customWidth="1"/>
    <col min="24" max="26" width="14.7109375" customWidth="1"/>
    <col min="27" max="27" width="11.85546875" bestFit="1" customWidth="1"/>
  </cols>
  <sheetData>
    <row r="1" spans="1:26" x14ac:dyDescent="0.25">
      <c r="A1" s="6"/>
    </row>
    <row r="2" spans="1:26" x14ac:dyDescent="0.25">
      <c r="D2" t="s">
        <v>612</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390</v>
      </c>
      <c r="C7" s="2"/>
      <c r="D7" s="8">
        <f>'FY19'!D58</f>
        <v>0</v>
      </c>
      <c r="E7" s="8">
        <f>'FY19'!E58</f>
        <v>504768.71</v>
      </c>
      <c r="F7" s="8">
        <f>D7+E7</f>
        <v>504768.71</v>
      </c>
      <c r="H7" s="8">
        <f>'FY19'!H58</f>
        <v>141396.29999999999</v>
      </c>
      <c r="I7" s="8">
        <f>'FY19'!I58</f>
        <v>40162.300000000003</v>
      </c>
      <c r="J7" s="8">
        <f>H7+I7</f>
        <v>181558.59999999998</v>
      </c>
      <c r="L7" s="8">
        <f>'FY19'!L58</f>
        <v>65868.009999999995</v>
      </c>
      <c r="M7" s="8">
        <f>'FY19'!M58</f>
        <v>8244.43</v>
      </c>
      <c r="N7" s="8">
        <f>L7+M7</f>
        <v>74112.44</v>
      </c>
      <c r="P7" s="8">
        <f>'FY19'!P58</f>
        <v>545436.81000000006</v>
      </c>
      <c r="Q7" s="8">
        <f>'FY19'!Q58</f>
        <v>64741.33</v>
      </c>
      <c r="R7" s="8">
        <f>P7+Q7</f>
        <v>610178.14</v>
      </c>
      <c r="T7" s="8">
        <f>'FY19'!T58</f>
        <v>0</v>
      </c>
      <c r="U7" s="8">
        <f>'FY19'!U58</f>
        <v>0</v>
      </c>
      <c r="V7" s="8">
        <f>T7+U7</f>
        <v>0</v>
      </c>
      <c r="X7" s="8">
        <f>D7+H7+L7+P7+T7</f>
        <v>752701.12000000011</v>
      </c>
      <c r="Y7" s="8">
        <f>E7+I7+M7+Q7+U7</f>
        <v>617916.77</v>
      </c>
      <c r="Z7" s="8">
        <f>F7+J7+N7+R7+V7</f>
        <v>1370617.8900000001</v>
      </c>
    </row>
    <row r="9" spans="1:26" x14ac:dyDescent="0.25">
      <c r="B9" s="5" t="s">
        <v>11</v>
      </c>
      <c r="C9" s="5"/>
      <c r="T9" s="1"/>
      <c r="U9" s="1"/>
      <c r="V9" s="1"/>
    </row>
    <row r="10" spans="1:26" x14ac:dyDescent="0.25">
      <c r="B10" s="2" t="s">
        <v>715</v>
      </c>
      <c r="C10" s="2"/>
      <c r="D10" s="9">
        <v>0</v>
      </c>
      <c r="E10" s="9">
        <f>ROUND(780078.03/10,2)</f>
        <v>78007.8</v>
      </c>
      <c r="F10" s="8">
        <f t="shared" ref="F10:F15" si="0">D10+E10</f>
        <v>78007.8</v>
      </c>
      <c r="H10" s="9">
        <v>0</v>
      </c>
      <c r="I10" s="9">
        <f>ROUND(780078.03/10,2)</f>
        <v>78007.8</v>
      </c>
      <c r="J10" s="8">
        <f t="shared" ref="J10:J15" si="1">H10+I10</f>
        <v>78007.8</v>
      </c>
      <c r="L10" s="9">
        <v>0</v>
      </c>
      <c r="M10" s="9">
        <f>ROUND(780078.03/10,2)</f>
        <v>78007.8</v>
      </c>
      <c r="N10" s="8">
        <f t="shared" ref="N10:N15" si="2">L10+M10</f>
        <v>78007.8</v>
      </c>
      <c r="P10" s="9">
        <v>0</v>
      </c>
      <c r="Q10" s="9">
        <f>780078.03-E10-I10-M10</f>
        <v>546054.62999999989</v>
      </c>
      <c r="R10" s="8">
        <f t="shared" ref="R10:R15" si="3">P10+Q10</f>
        <v>546054.62999999989</v>
      </c>
      <c r="T10" s="1"/>
      <c r="U10" s="1"/>
      <c r="V10" s="1"/>
      <c r="X10" s="8">
        <f t="shared" ref="X10:Z15" si="4">D10+H10+L10+P10+T10</f>
        <v>0</v>
      </c>
      <c r="Y10" s="8">
        <f t="shared" si="4"/>
        <v>780078.02999999991</v>
      </c>
      <c r="Z10" s="8">
        <f t="shared" si="4"/>
        <v>780078.02999999991</v>
      </c>
    </row>
    <row r="11" spans="1:26" x14ac:dyDescent="0.25">
      <c r="B11" s="2" t="s">
        <v>5</v>
      </c>
      <c r="C11" s="2"/>
      <c r="D11" s="9">
        <v>0</v>
      </c>
      <c r="E11" s="9">
        <f>ROUND(1043.04/10,2)</f>
        <v>104.3</v>
      </c>
      <c r="F11" s="8">
        <f t="shared" si="0"/>
        <v>104.3</v>
      </c>
      <c r="H11" s="9">
        <v>0</v>
      </c>
      <c r="I11" s="9">
        <f>ROUND(1043.04/10,2)</f>
        <v>104.3</v>
      </c>
      <c r="J11" s="8">
        <f t="shared" si="1"/>
        <v>104.3</v>
      </c>
      <c r="L11" s="9">
        <v>0</v>
      </c>
      <c r="M11" s="9">
        <f>ROUND(1043.04/10,2)</f>
        <v>104.3</v>
      </c>
      <c r="N11" s="8">
        <f t="shared" si="2"/>
        <v>104.3</v>
      </c>
      <c r="P11" s="9">
        <v>0</v>
      </c>
      <c r="Q11" s="9">
        <f>1043.04-E11-I11-M11</f>
        <v>730.1400000000001</v>
      </c>
      <c r="R11" s="8">
        <f t="shared" si="3"/>
        <v>730.1400000000001</v>
      </c>
      <c r="T11" s="1"/>
      <c r="U11" s="1"/>
      <c r="V11" s="1"/>
      <c r="X11" s="8">
        <f t="shared" si="4"/>
        <v>0</v>
      </c>
      <c r="Y11" s="8">
        <f t="shared" si="4"/>
        <v>1043.04</v>
      </c>
      <c r="Z11" s="8">
        <f t="shared" si="4"/>
        <v>1043.04</v>
      </c>
    </row>
    <row r="12" spans="1:26" x14ac:dyDescent="0.25">
      <c r="B12" s="2" t="s">
        <v>339</v>
      </c>
      <c r="C12" s="2"/>
      <c r="D12" s="9">
        <v>0</v>
      </c>
      <c r="E12" s="9">
        <f>ROUND(262401*0.1,2)</f>
        <v>26240.1</v>
      </c>
      <c r="F12" s="8">
        <f t="shared" si="0"/>
        <v>26240.1</v>
      </c>
      <c r="H12" s="9">
        <v>0</v>
      </c>
      <c r="I12" s="9">
        <f>ROUND(262401*0.1,2)</f>
        <v>26240.1</v>
      </c>
      <c r="J12" s="8">
        <f t="shared" si="1"/>
        <v>26240.1</v>
      </c>
      <c r="L12" s="9">
        <v>0</v>
      </c>
      <c r="M12" s="9">
        <f>ROUND(262401*0.1,2)</f>
        <v>26240.1</v>
      </c>
      <c r="N12" s="8">
        <f t="shared" si="2"/>
        <v>26240.1</v>
      </c>
      <c r="P12" s="9">
        <v>0</v>
      </c>
      <c r="Q12" s="9">
        <f>262401-E12-I12-M12</f>
        <v>183680.69999999998</v>
      </c>
      <c r="R12" s="8">
        <f t="shared" si="3"/>
        <v>183680.69999999998</v>
      </c>
      <c r="T12" s="1"/>
      <c r="U12" s="1"/>
      <c r="V12" s="1"/>
      <c r="X12" s="8">
        <f t="shared" si="4"/>
        <v>0</v>
      </c>
      <c r="Y12" s="8">
        <f t="shared" si="4"/>
        <v>262401</v>
      </c>
      <c r="Z12" s="8">
        <f t="shared" si="4"/>
        <v>262401</v>
      </c>
    </row>
    <row r="13" spans="1: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1:26" ht="15.75" thickBot="1" x14ac:dyDescent="0.3">
      <c r="B14" s="2" t="s">
        <v>407</v>
      </c>
      <c r="C14" s="2"/>
      <c r="D14" s="9">
        <v>0</v>
      </c>
      <c r="E14" s="9">
        <f>ROUND(17909.4/10,2)</f>
        <v>1790.94</v>
      </c>
      <c r="F14" s="15">
        <f t="shared" si="0"/>
        <v>1790.94</v>
      </c>
      <c r="H14" s="14">
        <v>0</v>
      </c>
      <c r="I14" s="9">
        <f>ROUND(17909.4/10,2)</f>
        <v>1790.94</v>
      </c>
      <c r="J14" s="15">
        <f t="shared" si="1"/>
        <v>1790.94</v>
      </c>
      <c r="L14" s="14">
        <v>0</v>
      </c>
      <c r="M14" s="9">
        <f>ROUND(17909.4/10,2)</f>
        <v>1790.94</v>
      </c>
      <c r="N14" s="15">
        <f t="shared" si="2"/>
        <v>1790.94</v>
      </c>
      <c r="P14" s="14">
        <v>0</v>
      </c>
      <c r="Q14" s="14">
        <f>17909.4-E14-I14-M14</f>
        <v>12536.58</v>
      </c>
      <c r="R14" s="15">
        <f t="shared" si="3"/>
        <v>12536.58</v>
      </c>
      <c r="T14" s="1"/>
      <c r="U14" s="1"/>
      <c r="V14" s="1"/>
      <c r="X14" s="15">
        <f t="shared" si="4"/>
        <v>0</v>
      </c>
      <c r="Y14" s="15">
        <f t="shared" si="4"/>
        <v>17909.400000000001</v>
      </c>
      <c r="Z14" s="15">
        <f t="shared" si="4"/>
        <v>17909.400000000001</v>
      </c>
    </row>
    <row r="15" spans="1:26" x14ac:dyDescent="0.25">
      <c r="B15" s="2" t="s">
        <v>28</v>
      </c>
      <c r="C15" s="2"/>
      <c r="D15" s="26">
        <f>SUM(D10:D14)</f>
        <v>0</v>
      </c>
      <c r="E15" s="26">
        <f>SUM(E10:E14)</f>
        <v>106143.14000000001</v>
      </c>
      <c r="F15" s="26">
        <f t="shared" si="0"/>
        <v>106143.14000000001</v>
      </c>
      <c r="H15" s="26">
        <f>SUM(H10:H14)</f>
        <v>0</v>
      </c>
      <c r="I15" s="26">
        <f>SUM(I10:I14)</f>
        <v>106143.14000000001</v>
      </c>
      <c r="J15" s="26">
        <f t="shared" si="1"/>
        <v>106143.14000000001</v>
      </c>
      <c r="L15" s="26">
        <f>SUM(L10:L14)</f>
        <v>0</v>
      </c>
      <c r="M15" s="26">
        <f>SUM(M10:M14)</f>
        <v>106143.14000000001</v>
      </c>
      <c r="N15" s="26">
        <f t="shared" si="2"/>
        <v>106143.14000000001</v>
      </c>
      <c r="P15" s="26">
        <f>SUM(P10:P14)</f>
        <v>0</v>
      </c>
      <c r="Q15" s="26">
        <f>SUM(Q10:Q14)</f>
        <v>743002.04999999981</v>
      </c>
      <c r="R15" s="26">
        <f t="shared" si="3"/>
        <v>743002.04999999981</v>
      </c>
      <c r="S15" s="1"/>
      <c r="T15" s="26">
        <f>SUM(T10:T14)</f>
        <v>0</v>
      </c>
      <c r="U15" s="26">
        <f>SUM(U10:U14)</f>
        <v>0</v>
      </c>
      <c r="V15" s="26">
        <f>T15+U15</f>
        <v>0</v>
      </c>
      <c r="X15" s="26">
        <f t="shared" si="4"/>
        <v>0</v>
      </c>
      <c r="Y15" s="26">
        <f t="shared" si="4"/>
        <v>1061431.4699999997</v>
      </c>
      <c r="Z15" s="26">
        <f t="shared" si="4"/>
        <v>1061431.4699999997</v>
      </c>
    </row>
    <row r="17" spans="2:26" x14ac:dyDescent="0.25">
      <c r="B17" s="5" t="s">
        <v>391</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26" si="5">D18+H18+L18+P18+T18</f>
        <v>0</v>
      </c>
      <c r="Y18" s="8">
        <f t="shared" si="5"/>
        <v>0</v>
      </c>
      <c r="Z18" s="8">
        <f t="shared" si="5"/>
        <v>0</v>
      </c>
    </row>
    <row r="19" spans="2:26" x14ac:dyDescent="0.25">
      <c r="B19" s="2" t="s">
        <v>79</v>
      </c>
      <c r="C19" s="2"/>
      <c r="H19" s="1"/>
      <c r="I19" s="1"/>
      <c r="J19" s="1"/>
      <c r="L19" s="1"/>
      <c r="M19" s="1"/>
      <c r="P19" s="8">
        <v>0</v>
      </c>
      <c r="Q19" s="8">
        <f>-T19</f>
        <v>-5000</v>
      </c>
      <c r="R19" s="8">
        <f>P19+Q19</f>
        <v>-5000</v>
      </c>
      <c r="T19" s="9">
        <f>2500+2500</f>
        <v>5000</v>
      </c>
      <c r="U19" s="9">
        <v>0</v>
      </c>
      <c r="V19" s="8">
        <f>T19+U19</f>
        <v>5000</v>
      </c>
      <c r="X19" s="8">
        <f t="shared" si="5"/>
        <v>5000</v>
      </c>
      <c r="Y19" s="8">
        <f t="shared" si="5"/>
        <v>-5000</v>
      </c>
      <c r="Z19" s="8">
        <f t="shared" si="5"/>
        <v>0</v>
      </c>
    </row>
    <row r="20" spans="2:26" x14ac:dyDescent="0.25">
      <c r="B20" s="2" t="s">
        <v>343</v>
      </c>
      <c r="C20" s="6" t="s">
        <v>17</v>
      </c>
      <c r="L20" s="9">
        <f>70000-29963</f>
        <v>40037</v>
      </c>
      <c r="M20" s="8">
        <f>-L20</f>
        <v>-40037</v>
      </c>
      <c r="N20" s="8">
        <f>L20+M20</f>
        <v>0</v>
      </c>
      <c r="P20" s="9">
        <f>481659.38-70000</f>
        <v>411659.38</v>
      </c>
      <c r="Q20" s="8">
        <f>-P20</f>
        <v>-411659.38</v>
      </c>
      <c r="R20" s="8">
        <f>P20+Q20</f>
        <v>0</v>
      </c>
      <c r="X20" s="8">
        <f t="shared" ref="X20:X21" si="6">D20+H20+L20+P20+T20</f>
        <v>451696.38</v>
      </c>
      <c r="Y20" s="8">
        <f t="shared" ref="Y20:Y21" si="7">E20+I20+M20+Q20+U20</f>
        <v>-451696.38</v>
      </c>
      <c r="Z20" s="8">
        <f t="shared" ref="Z20:Z21" si="8">F20+J20+N20+R20+V20</f>
        <v>0</v>
      </c>
    </row>
    <row r="21" spans="2:26" x14ac:dyDescent="0.25">
      <c r="B21" s="2" t="s">
        <v>408</v>
      </c>
      <c r="C21" s="6" t="s">
        <v>411</v>
      </c>
      <c r="H21" s="9">
        <v>5627</v>
      </c>
      <c r="I21" s="8">
        <f>-H21</f>
        <v>-5627</v>
      </c>
      <c r="J21" s="8">
        <f>H21+I21</f>
        <v>0</v>
      </c>
      <c r="L21" s="1"/>
      <c r="M21" s="1"/>
      <c r="X21" s="8">
        <f t="shared" si="6"/>
        <v>5627</v>
      </c>
      <c r="Y21" s="8">
        <f t="shared" si="7"/>
        <v>-5627</v>
      </c>
      <c r="Z21" s="8">
        <f t="shared" si="8"/>
        <v>0</v>
      </c>
    </row>
    <row r="22" spans="2:26" x14ac:dyDescent="0.25">
      <c r="B22" s="2" t="s">
        <v>583</v>
      </c>
      <c r="C22" s="6" t="s">
        <v>412</v>
      </c>
      <c r="H22" s="1"/>
      <c r="I22" s="1"/>
      <c r="J22" s="1"/>
      <c r="L22" s="9">
        <v>3763</v>
      </c>
      <c r="M22" s="8">
        <f>-L22</f>
        <v>-3763</v>
      </c>
      <c r="N22" s="8">
        <f>L22+M22</f>
        <v>0</v>
      </c>
      <c r="P22" s="9">
        <f>100000-L22</f>
        <v>96237</v>
      </c>
      <c r="Q22" s="8">
        <f>-P22</f>
        <v>-96237</v>
      </c>
      <c r="R22" s="8">
        <f>P22+Q22</f>
        <v>0</v>
      </c>
      <c r="X22" s="8">
        <f t="shared" ref="X22:Z25" si="9">D22+H22+L22+P22+T22</f>
        <v>100000</v>
      </c>
      <c r="Y22" s="8">
        <f t="shared" si="9"/>
        <v>-100000</v>
      </c>
      <c r="Z22" s="8">
        <f t="shared" si="9"/>
        <v>0</v>
      </c>
    </row>
    <row r="23" spans="2:26" x14ac:dyDescent="0.25">
      <c r="B23" s="2" t="s">
        <v>409</v>
      </c>
      <c r="C23" s="6" t="s">
        <v>413</v>
      </c>
      <c r="H23" s="1"/>
      <c r="I23" s="1"/>
      <c r="J23" s="1"/>
      <c r="L23" s="1"/>
      <c r="M23" s="1"/>
      <c r="P23" s="9">
        <f>300561-266857.38</f>
        <v>33703.619999999995</v>
      </c>
      <c r="Q23" s="8">
        <f>-P23</f>
        <v>-33703.619999999995</v>
      </c>
      <c r="R23" s="8">
        <f>P23+Q23</f>
        <v>0</v>
      </c>
      <c r="X23" s="8">
        <f t="shared" si="9"/>
        <v>33703.619999999995</v>
      </c>
      <c r="Y23" s="8">
        <f t="shared" si="9"/>
        <v>-33703.619999999995</v>
      </c>
      <c r="Z23" s="8">
        <f t="shared" si="9"/>
        <v>0</v>
      </c>
    </row>
    <row r="24" spans="2:26" x14ac:dyDescent="0.25">
      <c r="B24" s="2" t="s">
        <v>410</v>
      </c>
      <c r="C24" s="6" t="s">
        <v>414</v>
      </c>
      <c r="H24" s="9">
        <v>45000</v>
      </c>
      <c r="I24" s="8">
        <f>-H24</f>
        <v>-45000</v>
      </c>
      <c r="J24" s="8">
        <f>H24+I24</f>
        <v>0</v>
      </c>
      <c r="L24" s="1"/>
      <c r="M24" s="1"/>
      <c r="X24" s="8">
        <f t="shared" ref="X24" si="10">D24+H24+L24+P24+T24</f>
        <v>45000</v>
      </c>
      <c r="Y24" s="8">
        <f t="shared" ref="Y24" si="11">E24+I24+M24+Q24+U24</f>
        <v>-45000</v>
      </c>
      <c r="Z24" s="8">
        <f t="shared" ref="Z24" si="12">F24+J24+N24+R24+V24</f>
        <v>0</v>
      </c>
    </row>
    <row r="25" spans="2:26" ht="15.75" thickBot="1" x14ac:dyDescent="0.3">
      <c r="B25" s="2" t="s">
        <v>584</v>
      </c>
      <c r="C25" s="6" t="s">
        <v>415</v>
      </c>
      <c r="D25" s="9">
        <v>48882</v>
      </c>
      <c r="E25" s="8">
        <f>-D25</f>
        <v>-48882</v>
      </c>
      <c r="F25" s="8">
        <f>D25+E25</f>
        <v>0</v>
      </c>
      <c r="H25" s="1"/>
      <c r="I25" s="1"/>
      <c r="J25" s="1"/>
      <c r="L25" s="1"/>
      <c r="M25" s="1"/>
      <c r="X25" s="8">
        <f t="shared" si="9"/>
        <v>48882</v>
      </c>
      <c r="Y25" s="8">
        <f t="shared" si="9"/>
        <v>-48882</v>
      </c>
      <c r="Z25" s="8">
        <f t="shared" si="9"/>
        <v>0</v>
      </c>
    </row>
    <row r="26" spans="2:26" x14ac:dyDescent="0.25">
      <c r="B26" s="2" t="s">
        <v>392</v>
      </c>
      <c r="C26" s="2"/>
      <c r="D26" s="26">
        <f>SUM(D18:D25)</f>
        <v>48882</v>
      </c>
      <c r="E26" s="26">
        <f>SUM(E18:E25)</f>
        <v>-48882</v>
      </c>
      <c r="F26" s="26">
        <f>D26+E26</f>
        <v>0</v>
      </c>
      <c r="H26" s="26">
        <f>SUM(H18:H25)</f>
        <v>50627</v>
      </c>
      <c r="I26" s="26">
        <f>SUM(I18:I25)</f>
        <v>-50627</v>
      </c>
      <c r="J26" s="26">
        <f>H26+I26</f>
        <v>0</v>
      </c>
      <c r="L26" s="26">
        <f>SUM(L18:L25)</f>
        <v>43800</v>
      </c>
      <c r="M26" s="26">
        <f>SUM(M18:M25)</f>
        <v>-43800</v>
      </c>
      <c r="N26" s="26">
        <f>L26+M26</f>
        <v>0</v>
      </c>
      <c r="P26" s="26">
        <f>SUM(P18:P25)</f>
        <v>541600</v>
      </c>
      <c r="Q26" s="26">
        <f>SUM(Q18:Q25)</f>
        <v>-546600</v>
      </c>
      <c r="R26" s="26">
        <f>P26+Q26</f>
        <v>-5000</v>
      </c>
      <c r="S26" s="1"/>
      <c r="T26" s="26">
        <f>SUM(T18:T25)</f>
        <v>5000</v>
      </c>
      <c r="U26" s="26">
        <f>SUM(U18:U25)</f>
        <v>0</v>
      </c>
      <c r="V26" s="26">
        <f>T26+U26</f>
        <v>5000</v>
      </c>
      <c r="X26" s="26">
        <f>D26+H26+L26+P26+T26</f>
        <v>689909</v>
      </c>
      <c r="Y26" s="26">
        <f t="shared" si="5"/>
        <v>-689909</v>
      </c>
      <c r="Z26" s="26">
        <f t="shared" si="5"/>
        <v>0</v>
      </c>
    </row>
    <row r="27" spans="2:26" x14ac:dyDescent="0.25">
      <c r="H27" s="1"/>
      <c r="I27" s="1"/>
      <c r="J27" s="1"/>
      <c r="L27" s="1"/>
      <c r="M27" s="1"/>
      <c r="N27" s="1"/>
      <c r="P27" s="1"/>
      <c r="Q27" s="1"/>
      <c r="R27" s="1"/>
    </row>
    <row r="28" spans="2:26" x14ac:dyDescent="0.25">
      <c r="B28" s="5" t="s">
        <v>8</v>
      </c>
      <c r="C28" s="5"/>
      <c r="H28" s="1"/>
      <c r="I28" s="1"/>
      <c r="J28" s="1"/>
      <c r="L28" s="1"/>
      <c r="M28" s="1"/>
      <c r="N28" s="1"/>
      <c r="P28" s="1"/>
      <c r="Q28" s="1"/>
    </row>
    <row r="29" spans="2:26" x14ac:dyDescent="0.25">
      <c r="B29" s="2" t="s">
        <v>7</v>
      </c>
      <c r="C29" s="2"/>
      <c r="D29" s="1"/>
      <c r="E29" s="1"/>
      <c r="F29" s="1"/>
      <c r="H29" s="1"/>
      <c r="I29" s="1"/>
      <c r="J29" s="1"/>
      <c r="T29" s="9">
        <v>0</v>
      </c>
      <c r="U29" s="9">
        <v>0</v>
      </c>
      <c r="V29" s="8">
        <f>T29+U29</f>
        <v>0</v>
      </c>
      <c r="X29" s="8">
        <f t="shared" ref="X29:Y43" si="13">D29+H29+L29+P29+T29</f>
        <v>0</v>
      </c>
      <c r="Y29" s="8">
        <f t="shared" si="13"/>
        <v>0</v>
      </c>
      <c r="Z29" s="8">
        <f t="shared" ref="Z29:Z30" si="14">X29+Y29</f>
        <v>0</v>
      </c>
    </row>
    <row r="30" spans="2:26" x14ac:dyDescent="0.25">
      <c r="B30" s="2" t="s">
        <v>52</v>
      </c>
      <c r="C30" s="2"/>
      <c r="D30" s="1"/>
      <c r="E30" s="1"/>
      <c r="F30" s="1"/>
      <c r="H30" s="1"/>
      <c r="I30" s="1"/>
      <c r="J30" s="1"/>
      <c r="L30" s="1"/>
      <c r="M30" s="1"/>
      <c r="N30" s="1"/>
      <c r="Q30" s="1"/>
      <c r="R30" s="1"/>
      <c r="T30" s="9">
        <v>-2974</v>
      </c>
      <c r="U30" s="9">
        <v>0</v>
      </c>
      <c r="V30" s="8">
        <f>T30+U30</f>
        <v>-2974</v>
      </c>
      <c r="X30" s="8">
        <f t="shared" si="13"/>
        <v>-2974</v>
      </c>
      <c r="Y30" s="8">
        <f t="shared" si="13"/>
        <v>0</v>
      </c>
      <c r="Z30" s="8">
        <f t="shared" si="14"/>
        <v>-2974</v>
      </c>
    </row>
    <row r="31" spans="2:26" x14ac:dyDescent="0.25">
      <c r="B31" s="2" t="s">
        <v>343</v>
      </c>
      <c r="C31" s="6" t="s">
        <v>17</v>
      </c>
      <c r="H31" s="1"/>
      <c r="I31" s="1"/>
      <c r="J31" s="1"/>
      <c r="L31" s="9">
        <f>-70000</f>
        <v>-70000</v>
      </c>
      <c r="M31" s="9">
        <v>0</v>
      </c>
      <c r="N31" s="15">
        <f>L31+M31</f>
        <v>-70000</v>
      </c>
      <c r="P31" s="9">
        <f>-481659.38-L31</f>
        <v>-411659.38</v>
      </c>
      <c r="Q31" s="9">
        <v>0</v>
      </c>
      <c r="R31" s="8">
        <f>P31+Q31</f>
        <v>-411659.38</v>
      </c>
      <c r="X31" s="8">
        <f t="shared" ref="X31" si="15">D31+H31+L31+P31+T31</f>
        <v>-481659.38</v>
      </c>
      <c r="Y31" s="8">
        <f t="shared" ref="Y31" si="16">E31+I31+M31+Q31+U31</f>
        <v>0</v>
      </c>
      <c r="Z31" s="8">
        <f t="shared" ref="Z31" si="17">X31+Y31</f>
        <v>-481659.38</v>
      </c>
    </row>
    <row r="32" spans="2:26" x14ac:dyDescent="0.25">
      <c r="B32" s="2" t="s">
        <v>306</v>
      </c>
      <c r="C32" s="6" t="s">
        <v>354</v>
      </c>
      <c r="H32" s="9">
        <v>0</v>
      </c>
      <c r="I32" s="9">
        <v>0</v>
      </c>
      <c r="J32" s="8">
        <f>H32+I32</f>
        <v>0</v>
      </c>
      <c r="L32" s="1"/>
      <c r="M32" s="1"/>
      <c r="N32" s="1"/>
      <c r="X32" s="8">
        <f t="shared" ref="X32" si="18">D32+H32+L32+P32+T32</f>
        <v>0</v>
      </c>
      <c r="Y32" s="8">
        <f t="shared" si="13"/>
        <v>0</v>
      </c>
      <c r="Z32" s="8">
        <f t="shared" ref="Z32:Z43" si="19">X32+Y32</f>
        <v>0</v>
      </c>
    </row>
    <row r="33" spans="2:26" x14ac:dyDescent="0.25">
      <c r="B33" s="2" t="s">
        <v>589</v>
      </c>
      <c r="C33" s="6" t="s">
        <v>367</v>
      </c>
      <c r="P33" s="9">
        <v>-4810.5600000000004</v>
      </c>
      <c r="Q33" s="9">
        <v>0</v>
      </c>
      <c r="R33" s="8">
        <f>P33+Q33</f>
        <v>-4810.5600000000004</v>
      </c>
      <c r="X33" s="8">
        <f t="shared" si="13"/>
        <v>-4810.5600000000004</v>
      </c>
      <c r="Y33" s="8">
        <f t="shared" si="13"/>
        <v>0</v>
      </c>
      <c r="Z33" s="8">
        <f t="shared" si="19"/>
        <v>-4810.5600000000004</v>
      </c>
    </row>
    <row r="34" spans="2:26" x14ac:dyDescent="0.25">
      <c r="B34" s="2" t="s">
        <v>587</v>
      </c>
      <c r="C34" s="6" t="s">
        <v>372</v>
      </c>
      <c r="P34" s="9">
        <v>0</v>
      </c>
      <c r="Q34" s="9">
        <v>0</v>
      </c>
      <c r="R34" s="8">
        <f>P34+Q34</f>
        <v>0</v>
      </c>
      <c r="X34" s="8">
        <f t="shared" si="13"/>
        <v>0</v>
      </c>
      <c r="Y34" s="8">
        <f t="shared" si="13"/>
        <v>0</v>
      </c>
      <c r="Z34" s="8">
        <f t="shared" si="19"/>
        <v>0</v>
      </c>
    </row>
    <row r="35" spans="2:26" x14ac:dyDescent="0.25">
      <c r="B35" s="2" t="s">
        <v>582</v>
      </c>
      <c r="C35" s="6" t="s">
        <v>378</v>
      </c>
      <c r="H35" s="9">
        <v>-39827.769999999997</v>
      </c>
      <c r="I35" s="9">
        <v>0</v>
      </c>
      <c r="J35" s="8">
        <f>H35+I35</f>
        <v>-39827.769999999997</v>
      </c>
      <c r="P35" s="9">
        <v>0</v>
      </c>
      <c r="Q35" s="9">
        <v>0</v>
      </c>
      <c r="R35" s="8">
        <f>P35+Q35</f>
        <v>0</v>
      </c>
      <c r="X35" s="8">
        <f t="shared" si="13"/>
        <v>-39827.769999999997</v>
      </c>
      <c r="Y35" s="8">
        <f t="shared" si="13"/>
        <v>0</v>
      </c>
      <c r="Z35" s="8">
        <f t="shared" si="19"/>
        <v>-39827.769999999997</v>
      </c>
    </row>
    <row r="36" spans="2:26" x14ac:dyDescent="0.25">
      <c r="B36" s="2" t="s">
        <v>385</v>
      </c>
      <c r="C36" s="6" t="s">
        <v>379</v>
      </c>
      <c r="H36" s="9">
        <v>-5895</v>
      </c>
      <c r="I36" s="9">
        <v>0</v>
      </c>
      <c r="J36" s="8">
        <f>H36+I36</f>
        <v>-5895</v>
      </c>
      <c r="L36" s="1"/>
      <c r="M36" s="1"/>
      <c r="N36" s="1"/>
      <c r="X36" s="8">
        <f t="shared" si="13"/>
        <v>-5895</v>
      </c>
      <c r="Y36" s="8">
        <f t="shared" si="13"/>
        <v>0</v>
      </c>
      <c r="Z36" s="8">
        <f t="shared" si="19"/>
        <v>-5895</v>
      </c>
    </row>
    <row r="37" spans="2:26" x14ac:dyDescent="0.25">
      <c r="B37" s="2" t="s">
        <v>380</v>
      </c>
      <c r="C37" s="6" t="s">
        <v>381</v>
      </c>
      <c r="L37" s="9">
        <v>-30000</v>
      </c>
      <c r="M37" s="9">
        <v>0</v>
      </c>
      <c r="N37" s="8">
        <f>L37+M37</f>
        <v>-30000</v>
      </c>
      <c r="P37" s="9">
        <v>-100774.34</v>
      </c>
      <c r="Q37" s="9">
        <v>0</v>
      </c>
      <c r="R37" s="8">
        <f>P37+Q37</f>
        <v>-100774.34</v>
      </c>
      <c r="X37" s="8">
        <f t="shared" si="13"/>
        <v>-130774.34</v>
      </c>
      <c r="Y37" s="8">
        <f t="shared" si="13"/>
        <v>0</v>
      </c>
      <c r="Z37" s="8">
        <f t="shared" si="19"/>
        <v>-130774.34</v>
      </c>
    </row>
    <row r="38" spans="2:26" x14ac:dyDescent="0.25">
      <c r="B38" s="2" t="s">
        <v>382</v>
      </c>
      <c r="C38" s="6" t="s">
        <v>383</v>
      </c>
      <c r="L38" s="9">
        <v>-5905.01</v>
      </c>
      <c r="M38" s="9">
        <v>0</v>
      </c>
      <c r="N38" s="8">
        <f>L38+M38</f>
        <v>-5905.01</v>
      </c>
      <c r="P38" s="9">
        <v>-5754.54</v>
      </c>
      <c r="Q38" s="9">
        <v>0</v>
      </c>
      <c r="R38" s="8">
        <f>P38+Q38</f>
        <v>-5754.54</v>
      </c>
      <c r="X38" s="8">
        <f t="shared" si="13"/>
        <v>-11659.55</v>
      </c>
      <c r="Y38" s="8">
        <f t="shared" si="13"/>
        <v>0</v>
      </c>
      <c r="Z38" s="8">
        <f t="shared" si="19"/>
        <v>-11659.55</v>
      </c>
    </row>
    <row r="39" spans="2:26" x14ac:dyDescent="0.25">
      <c r="B39" s="2" t="s">
        <v>408</v>
      </c>
      <c r="C39" s="6" t="s">
        <v>411</v>
      </c>
      <c r="H39" s="9">
        <v>-5627</v>
      </c>
      <c r="I39" s="9">
        <v>0</v>
      </c>
      <c r="J39" s="8">
        <f>H39+I39</f>
        <v>-5627</v>
      </c>
      <c r="L39" s="1"/>
      <c r="M39" s="1"/>
      <c r="N39" s="1"/>
      <c r="Q39" s="1"/>
      <c r="R39" s="1"/>
      <c r="X39" s="8">
        <f t="shared" si="13"/>
        <v>-5627</v>
      </c>
      <c r="Y39" s="8">
        <f t="shared" si="13"/>
        <v>0</v>
      </c>
      <c r="Z39" s="8">
        <f t="shared" si="19"/>
        <v>-5627</v>
      </c>
    </row>
    <row r="40" spans="2:26" x14ac:dyDescent="0.25">
      <c r="B40" s="2" t="s">
        <v>583</v>
      </c>
      <c r="C40" s="6" t="s">
        <v>412</v>
      </c>
      <c r="H40" s="1"/>
      <c r="I40" s="1"/>
      <c r="J40" s="1"/>
      <c r="L40" s="9">
        <v>-3763</v>
      </c>
      <c r="M40" s="9">
        <v>0</v>
      </c>
      <c r="N40" s="8">
        <f>L40+M40</f>
        <v>-3763</v>
      </c>
      <c r="P40" s="9">
        <f>-100000-L40</f>
        <v>-96237</v>
      </c>
      <c r="Q40" s="9">
        <v>0</v>
      </c>
      <c r="R40" s="8">
        <f>P40+Q40</f>
        <v>-96237</v>
      </c>
      <c r="X40" s="8">
        <f t="shared" si="13"/>
        <v>-100000</v>
      </c>
      <c r="Y40" s="8">
        <f t="shared" si="13"/>
        <v>0</v>
      </c>
      <c r="Z40" s="8">
        <f t="shared" si="19"/>
        <v>-100000</v>
      </c>
    </row>
    <row r="41" spans="2:26" x14ac:dyDescent="0.25">
      <c r="B41" s="2" t="s">
        <v>409</v>
      </c>
      <c r="C41" s="6" t="s">
        <v>413</v>
      </c>
      <c r="H41" s="1"/>
      <c r="I41" s="1"/>
      <c r="J41" s="1"/>
      <c r="P41" s="9">
        <v>-300561</v>
      </c>
      <c r="Q41" s="9">
        <v>0</v>
      </c>
      <c r="R41" s="8">
        <f>P41+Q41</f>
        <v>-300561</v>
      </c>
      <c r="X41" s="8">
        <f t="shared" si="13"/>
        <v>-300561</v>
      </c>
      <c r="Y41" s="8">
        <f t="shared" si="13"/>
        <v>0</v>
      </c>
      <c r="Z41" s="8">
        <f t="shared" si="19"/>
        <v>-300561</v>
      </c>
    </row>
    <row r="42" spans="2:26" x14ac:dyDescent="0.25">
      <c r="B42" s="2" t="s">
        <v>410</v>
      </c>
      <c r="C42" s="6" t="s">
        <v>414</v>
      </c>
      <c r="H42" s="9">
        <v>-21462.62</v>
      </c>
      <c r="I42" s="9">
        <v>0</v>
      </c>
      <c r="J42" s="8">
        <f>H42+I42</f>
        <v>-21462.62</v>
      </c>
      <c r="X42" s="8">
        <f t="shared" si="13"/>
        <v>-21462.62</v>
      </c>
      <c r="Y42" s="8">
        <f t="shared" si="13"/>
        <v>0</v>
      </c>
      <c r="Z42" s="8">
        <f t="shared" si="19"/>
        <v>-21462.62</v>
      </c>
    </row>
    <row r="43" spans="2:26" ht="15.75" thickBot="1" x14ac:dyDescent="0.3">
      <c r="B43" s="2" t="s">
        <v>584</v>
      </c>
      <c r="C43" s="6" t="s">
        <v>415</v>
      </c>
      <c r="D43" s="9">
        <v>-48788.4</v>
      </c>
      <c r="E43" s="9">
        <v>0</v>
      </c>
      <c r="F43" s="8">
        <f>D43+E43</f>
        <v>-48788.4</v>
      </c>
      <c r="L43" s="1"/>
      <c r="M43" s="1"/>
      <c r="N43" s="1"/>
      <c r="Q43" s="1"/>
      <c r="R43" s="1"/>
      <c r="X43" s="8">
        <f t="shared" si="13"/>
        <v>-48788.4</v>
      </c>
      <c r="Y43" s="8">
        <f t="shared" si="13"/>
        <v>0</v>
      </c>
      <c r="Z43" s="8">
        <f t="shared" si="19"/>
        <v>-48788.4</v>
      </c>
    </row>
    <row r="44" spans="2:26" x14ac:dyDescent="0.25">
      <c r="B44" s="2" t="s">
        <v>31</v>
      </c>
      <c r="C44" s="2"/>
      <c r="D44" s="26">
        <f>SUM(D29:D43)</f>
        <v>-48788.4</v>
      </c>
      <c r="E44" s="26">
        <f>SUM(E29:E43)</f>
        <v>0</v>
      </c>
      <c r="F44" s="26">
        <f>D44+E44</f>
        <v>-48788.4</v>
      </c>
      <c r="H44" s="26">
        <f>SUM(H29:H43)</f>
        <v>-72812.39</v>
      </c>
      <c r="I44" s="26">
        <f>SUM(I29:I43)</f>
        <v>0</v>
      </c>
      <c r="J44" s="26">
        <f>H44+I44</f>
        <v>-72812.39</v>
      </c>
      <c r="L44" s="26">
        <f>SUM(L29:L43)</f>
        <v>-109668.01</v>
      </c>
      <c r="M44" s="26">
        <f>SUM(M29:M43)</f>
        <v>0</v>
      </c>
      <c r="N44" s="26">
        <f>L44+M44</f>
        <v>-109668.01</v>
      </c>
      <c r="P44" s="26">
        <f>SUM(P29:P43)</f>
        <v>-919796.82000000007</v>
      </c>
      <c r="Q44" s="26">
        <f>SUM(Q29:Q43)</f>
        <v>0</v>
      </c>
      <c r="R44" s="26">
        <f>P44+Q44</f>
        <v>-919796.82000000007</v>
      </c>
      <c r="S44" s="1"/>
      <c r="T44" s="26">
        <f>SUM(T29:T43)</f>
        <v>-2974</v>
      </c>
      <c r="U44" s="26">
        <f>SUM(U29:U43)</f>
        <v>0</v>
      </c>
      <c r="V44" s="26">
        <f>T44+U44</f>
        <v>-2974</v>
      </c>
      <c r="X44" s="26">
        <f>SUM(X29:X43)</f>
        <v>-1154039.6200000001</v>
      </c>
      <c r="Y44" s="26">
        <f>SUM(Y29:Y43)</f>
        <v>0</v>
      </c>
      <c r="Z44" s="26">
        <f>X44+Y44</f>
        <v>-1154039.6200000001</v>
      </c>
    </row>
    <row r="45" spans="2:26" x14ac:dyDescent="0.25">
      <c r="D45" s="1"/>
      <c r="E45" s="1"/>
      <c r="F45" s="1"/>
      <c r="H45" s="1"/>
      <c r="I45" s="1"/>
      <c r="J45" s="1"/>
      <c r="L45" s="1"/>
      <c r="M45" s="1"/>
      <c r="N45" s="1"/>
      <c r="P45" s="1"/>
      <c r="Q45" s="1"/>
      <c r="R45" s="1"/>
      <c r="U45" s="1"/>
      <c r="V45" s="1"/>
      <c r="X45" s="1"/>
    </row>
    <row r="46" spans="2:26" x14ac:dyDescent="0.25">
      <c r="B46" s="5" t="s">
        <v>10</v>
      </c>
      <c r="C46" s="5"/>
      <c r="E46" s="1"/>
      <c r="F46" s="1"/>
      <c r="L46" s="1"/>
      <c r="M46" s="1"/>
      <c r="N46" s="1"/>
    </row>
    <row r="47" spans="2:26" x14ac:dyDescent="0.25">
      <c r="B47" s="2" t="s">
        <v>7</v>
      </c>
      <c r="C47" s="2"/>
      <c r="X47" s="8">
        <f t="shared" ref="X47:Y52" si="20">D47+H47+L47+P47+T47</f>
        <v>0</v>
      </c>
      <c r="Y47" s="8">
        <f t="shared" si="20"/>
        <v>0</v>
      </c>
      <c r="Z47" s="8">
        <f t="shared" ref="Z47:Z52" si="21">X47+Y47</f>
        <v>0</v>
      </c>
    </row>
    <row r="48" spans="2:26" x14ac:dyDescent="0.25">
      <c r="B48" s="2" t="s">
        <v>52</v>
      </c>
      <c r="C48" s="2"/>
      <c r="P48" s="9">
        <v>0</v>
      </c>
      <c r="Q48" s="8">
        <f>5000-2974</f>
        <v>2026</v>
      </c>
      <c r="R48" s="8">
        <f>P48+Q48</f>
        <v>2026</v>
      </c>
      <c r="T48" s="9">
        <f>-5000+2974</f>
        <v>-2026</v>
      </c>
      <c r="U48" s="8">
        <v>0</v>
      </c>
      <c r="V48" s="8">
        <f>T48+U48</f>
        <v>-2026</v>
      </c>
      <c r="X48" s="8">
        <f t="shared" si="20"/>
        <v>-2026</v>
      </c>
      <c r="Y48" s="8">
        <f t="shared" si="20"/>
        <v>2026</v>
      </c>
      <c r="Z48" s="8">
        <f t="shared" si="21"/>
        <v>0</v>
      </c>
    </row>
    <row r="49" spans="2:26" x14ac:dyDescent="0.25">
      <c r="B49" s="2" t="s">
        <v>343</v>
      </c>
      <c r="C49" s="6" t="s">
        <v>17</v>
      </c>
      <c r="P49" s="9">
        <v>0</v>
      </c>
      <c r="Q49" s="8">
        <f>-P49</f>
        <v>0</v>
      </c>
      <c r="R49" s="8">
        <f>P49+Q49</f>
        <v>0</v>
      </c>
      <c r="X49" s="8">
        <f t="shared" ref="X49:X50" si="22">D49+H49+L49+P49+T49</f>
        <v>0</v>
      </c>
      <c r="Y49" s="8">
        <f t="shared" ref="Y49:Y50" si="23">E49+I49+M49+Q49+U49</f>
        <v>0</v>
      </c>
      <c r="Z49" s="8">
        <f t="shared" ref="Z49:Z50" si="24">X49+Y49</f>
        <v>0</v>
      </c>
    </row>
    <row r="50" spans="2:26" x14ac:dyDescent="0.25">
      <c r="B50" s="2" t="s">
        <v>385</v>
      </c>
      <c r="C50" s="6" t="s">
        <v>379</v>
      </c>
      <c r="H50" s="8">
        <v>-53</v>
      </c>
      <c r="I50" s="8">
        <f>-H50</f>
        <v>53</v>
      </c>
      <c r="J50" s="8">
        <f>H50+I50</f>
        <v>0</v>
      </c>
      <c r="X50" s="8">
        <f t="shared" si="22"/>
        <v>-53</v>
      </c>
      <c r="Y50" s="8">
        <f t="shared" si="23"/>
        <v>53</v>
      </c>
      <c r="Z50" s="8">
        <f t="shared" si="24"/>
        <v>0</v>
      </c>
    </row>
    <row r="51" spans="2:26" ht="15.75" thickBot="1" x14ac:dyDescent="0.3">
      <c r="B51" s="2" t="s">
        <v>584</v>
      </c>
      <c r="C51" s="6" t="s">
        <v>415</v>
      </c>
      <c r="D51" s="8">
        <f>48788.4-48882</f>
        <v>-93.599999999998545</v>
      </c>
      <c r="E51" s="8">
        <f>-D51</f>
        <v>93.599999999998545</v>
      </c>
      <c r="F51" s="8">
        <f>D51+E51</f>
        <v>0</v>
      </c>
      <c r="X51" s="8">
        <f t="shared" ref="X51" si="25">D51+H51+L51+P51+T51</f>
        <v>-93.599999999998545</v>
      </c>
      <c r="Y51" s="8">
        <f t="shared" ref="Y51" si="26">E51+I51+M51+Q51+U51</f>
        <v>93.599999999998545</v>
      </c>
      <c r="Z51" s="8">
        <f t="shared" si="21"/>
        <v>0</v>
      </c>
    </row>
    <row r="52" spans="2:26" x14ac:dyDescent="0.25">
      <c r="B52" s="2" t="s">
        <v>39</v>
      </c>
      <c r="C52" s="2"/>
      <c r="D52" s="26">
        <f>SUM(D47:D51)</f>
        <v>-93.599999999998545</v>
      </c>
      <c r="E52" s="26">
        <f>SUM(E47:E51)</f>
        <v>93.599999999998545</v>
      </c>
      <c r="F52" s="26">
        <f>D52+E52</f>
        <v>0</v>
      </c>
      <c r="H52" s="26">
        <f>SUM(H47:H51)</f>
        <v>-53</v>
      </c>
      <c r="I52" s="26">
        <f>SUM(I47:I51)</f>
        <v>53</v>
      </c>
      <c r="J52" s="26">
        <f>H52+I52</f>
        <v>0</v>
      </c>
      <c r="L52" s="26">
        <f>SUM(L47:L51)</f>
        <v>0</v>
      </c>
      <c r="M52" s="26">
        <f>SUM(M47:M51)</f>
        <v>0</v>
      </c>
      <c r="N52" s="26">
        <f>L52+M52</f>
        <v>0</v>
      </c>
      <c r="P52" s="26">
        <f>SUM(P47:P51)</f>
        <v>0</v>
      </c>
      <c r="Q52" s="26">
        <f>SUM(Q47:Q51)</f>
        <v>2026</v>
      </c>
      <c r="R52" s="26">
        <f>P52+Q52</f>
        <v>2026</v>
      </c>
      <c r="S52" s="1"/>
      <c r="T52" s="26">
        <f>SUM(T47:T51)</f>
        <v>-2026</v>
      </c>
      <c r="U52" s="26">
        <f>SUM(U47:U51)</f>
        <v>0</v>
      </c>
      <c r="V52" s="26">
        <f>T52+U52</f>
        <v>-2026</v>
      </c>
      <c r="X52" s="26">
        <f t="shared" si="20"/>
        <v>-2172.5999999999985</v>
      </c>
      <c r="Y52" s="26">
        <f t="shared" si="20"/>
        <v>2172.5999999999985</v>
      </c>
      <c r="Z52" s="26">
        <f t="shared" si="21"/>
        <v>0</v>
      </c>
    </row>
    <row r="53" spans="2:26" x14ac:dyDescent="0.25">
      <c r="L53" s="1"/>
      <c r="M53" s="1"/>
      <c r="N53" s="1"/>
      <c r="P53" s="1"/>
      <c r="Q53" s="1"/>
      <c r="R53" s="1"/>
    </row>
    <row r="54" spans="2:26" x14ac:dyDescent="0.25">
      <c r="B54" s="2" t="s">
        <v>393</v>
      </c>
      <c r="C54" s="2"/>
      <c r="D54" s="8">
        <f>D7+D15+D26+D44+D52</f>
        <v>0</v>
      </c>
      <c r="E54" s="8">
        <f>E7+E15+E26+E44+E52</f>
        <v>562123.45000000007</v>
      </c>
      <c r="F54" s="8">
        <f>D54+E54</f>
        <v>562123.45000000007</v>
      </c>
      <c r="H54" s="8">
        <f>H7+H15+H26+H44+H52</f>
        <v>119157.90999999999</v>
      </c>
      <c r="I54" s="8">
        <f>I7+I15+I26+I44+I52</f>
        <v>95731.44</v>
      </c>
      <c r="J54" s="8">
        <f>H54+I54</f>
        <v>214889.34999999998</v>
      </c>
      <c r="L54" s="8">
        <f>L7+L15+L26+L44+L52</f>
        <v>0</v>
      </c>
      <c r="M54" s="8">
        <f>M7+M15+M26+M44+M52</f>
        <v>70587.570000000007</v>
      </c>
      <c r="N54" s="8">
        <f>L54+M54</f>
        <v>70587.570000000007</v>
      </c>
      <c r="P54" s="8">
        <f>P7+P15+P26+P44+P52</f>
        <v>167239.99</v>
      </c>
      <c r="Q54" s="8">
        <f>Q7+Q15+Q26+Q44+Q52</f>
        <v>263169.37999999977</v>
      </c>
      <c r="R54" s="8">
        <f>P54+Q54</f>
        <v>430409.36999999976</v>
      </c>
      <c r="T54" s="8">
        <f>T7+T15+T26+T44+T52</f>
        <v>0</v>
      </c>
      <c r="U54" s="8">
        <f>U7+U15+U26+U44+U52</f>
        <v>0</v>
      </c>
      <c r="V54" s="8">
        <f>T54+U54</f>
        <v>0</v>
      </c>
      <c r="X54" s="8">
        <f>D54+H54+L54+P54+T54</f>
        <v>286397.89999999997</v>
      </c>
      <c r="Y54" s="8">
        <f>E54+I54+M54+Q54+U54</f>
        <v>991611.84</v>
      </c>
      <c r="Z54" s="8">
        <f>X54+Y54</f>
        <v>1278009.74</v>
      </c>
    </row>
    <row r="56" spans="2:26" x14ac:dyDescent="0.25">
      <c r="B56" s="5" t="s">
        <v>394</v>
      </c>
      <c r="C56" s="5"/>
      <c r="L56" s="1"/>
      <c r="M56" s="1"/>
      <c r="N56" s="1"/>
      <c r="P56" s="1"/>
    </row>
    <row r="57" spans="2:26" x14ac:dyDescent="0.25">
      <c r="B57" s="2" t="s">
        <v>244</v>
      </c>
      <c r="C57" s="2"/>
      <c r="D57" s="9">
        <v>0</v>
      </c>
      <c r="E57" s="9">
        <v>0</v>
      </c>
      <c r="F57" s="8">
        <f>D57+E57</f>
        <v>0</v>
      </c>
      <c r="H57" s="9">
        <v>0</v>
      </c>
      <c r="I57" s="9">
        <v>0</v>
      </c>
      <c r="J57" s="12">
        <f>H57+I57</f>
        <v>0</v>
      </c>
      <c r="L57" s="9">
        <v>0</v>
      </c>
      <c r="M57" s="14">
        <v>0</v>
      </c>
      <c r="N57" s="8">
        <f>L57+M57</f>
        <v>0</v>
      </c>
      <c r="P57" s="9">
        <v>0</v>
      </c>
      <c r="Q57" s="9">
        <v>0</v>
      </c>
      <c r="R57" s="8">
        <f>P57+Q57</f>
        <v>0</v>
      </c>
      <c r="T57" s="9">
        <v>0</v>
      </c>
      <c r="U57" s="9">
        <v>0</v>
      </c>
      <c r="V57" s="8">
        <f>T57+U57</f>
        <v>0</v>
      </c>
      <c r="X57" s="8">
        <f t="shared" ref="X57:Y60" si="27">D57+H57+L57+P57+T57</f>
        <v>0</v>
      </c>
      <c r="Y57" s="8">
        <f t="shared" si="27"/>
        <v>0</v>
      </c>
      <c r="Z57" s="8">
        <f>X57+Y57</f>
        <v>0</v>
      </c>
    </row>
    <row r="58" spans="2:26" x14ac:dyDescent="0.25">
      <c r="B58" s="2" t="s">
        <v>402</v>
      </c>
      <c r="C58" s="6" t="s">
        <v>17</v>
      </c>
      <c r="L58" s="9">
        <v>11510</v>
      </c>
      <c r="M58" s="8">
        <f>-L58</f>
        <v>-11510</v>
      </c>
      <c r="N58" s="8">
        <f>L58+M58</f>
        <v>0</v>
      </c>
      <c r="X58" s="8">
        <f t="shared" ref="X58" si="28">D58+H58+L58+P58+T58</f>
        <v>11510</v>
      </c>
      <c r="Y58" s="8">
        <f t="shared" ref="Y58" si="29">E58+I58+M58+Q58+U58</f>
        <v>-11510</v>
      </c>
      <c r="Z58" s="8">
        <f>X58+Y58</f>
        <v>0</v>
      </c>
    </row>
    <row r="59" spans="2:26" ht="15.75" thickBot="1" x14ac:dyDescent="0.3">
      <c r="B59" s="2" t="s">
        <v>438</v>
      </c>
      <c r="C59" s="6" t="s">
        <v>443</v>
      </c>
      <c r="H59" s="9">
        <v>40510</v>
      </c>
      <c r="I59" s="8">
        <f>-H59</f>
        <v>-40510</v>
      </c>
      <c r="J59" s="8">
        <f>H59+I59</f>
        <v>0</v>
      </c>
      <c r="X59" s="8">
        <f t="shared" si="27"/>
        <v>40510</v>
      </c>
      <c r="Y59" s="8">
        <f t="shared" si="27"/>
        <v>-40510</v>
      </c>
      <c r="Z59" s="8">
        <f>X59+Y59</f>
        <v>0</v>
      </c>
    </row>
    <row r="60" spans="2:26" x14ac:dyDescent="0.25">
      <c r="B60" s="2" t="s">
        <v>395</v>
      </c>
      <c r="C60" s="2"/>
      <c r="D60" s="26">
        <f>SUM(D57:D59)</f>
        <v>0</v>
      </c>
      <c r="E60" s="26">
        <f>SUM(E57:E59)</f>
        <v>0</v>
      </c>
      <c r="F60" s="26">
        <f>D60+E60</f>
        <v>0</v>
      </c>
      <c r="H60" s="26">
        <f>SUM(H57:H59)</f>
        <v>40510</v>
      </c>
      <c r="I60" s="26">
        <f>SUM(I57:I59)</f>
        <v>-40510</v>
      </c>
      <c r="J60" s="26">
        <f>H60+I60</f>
        <v>0</v>
      </c>
      <c r="L60" s="26">
        <f>SUM(L57:L59)</f>
        <v>11510</v>
      </c>
      <c r="M60" s="26">
        <f>SUM(M57:M59)</f>
        <v>-11510</v>
      </c>
      <c r="N60" s="26">
        <f>L60+M60</f>
        <v>0</v>
      </c>
      <c r="P60" s="26">
        <f>SUM(P57:P57)</f>
        <v>0</v>
      </c>
      <c r="Q60" s="26">
        <f>SUM(Q57:Q57)</f>
        <v>0</v>
      </c>
      <c r="R60" s="26">
        <f>P60+Q60</f>
        <v>0</v>
      </c>
      <c r="S60" s="1"/>
      <c r="T60" s="26">
        <f>SUM(T57:T57)</f>
        <v>0</v>
      </c>
      <c r="U60" s="26">
        <f>SUM(U57:U57)</f>
        <v>0</v>
      </c>
      <c r="V60" s="26">
        <f>T60+U60</f>
        <v>0</v>
      </c>
      <c r="X60" s="26">
        <f t="shared" si="27"/>
        <v>52020</v>
      </c>
      <c r="Y60" s="26">
        <f t="shared" si="27"/>
        <v>-52020</v>
      </c>
      <c r="Z60" s="26">
        <f>X60+Y60</f>
        <v>0</v>
      </c>
    </row>
    <row r="61" spans="2:26" x14ac:dyDescent="0.25">
      <c r="C61" s="2"/>
    </row>
    <row r="62" spans="2:26" ht="15.75" thickBot="1" x14ac:dyDescent="0.3">
      <c r="B62" s="2" t="s">
        <v>396</v>
      </c>
      <c r="C62" s="2"/>
      <c r="D62" s="17">
        <f>ROUND(D54+D60,2)</f>
        <v>0</v>
      </c>
      <c r="E62" s="17">
        <f>ROUND(E54+E60,2)</f>
        <v>562123.44999999995</v>
      </c>
      <c r="F62" s="17">
        <f>D62+E62</f>
        <v>562123.44999999995</v>
      </c>
      <c r="H62" s="17">
        <f>ROUND(H54+H60,2)</f>
        <v>159667.91</v>
      </c>
      <c r="I62" s="17">
        <f>ROUND(I54+I60,2)</f>
        <v>55221.440000000002</v>
      </c>
      <c r="J62" s="17">
        <f>H62+I62</f>
        <v>214889.35</v>
      </c>
      <c r="L62" s="17">
        <f>ROUND(L54+L60,2)</f>
        <v>11510</v>
      </c>
      <c r="M62" s="17">
        <f>ROUND(M54+M60,2)</f>
        <v>59077.57</v>
      </c>
      <c r="N62" s="17">
        <f>L62+M62</f>
        <v>70587.570000000007</v>
      </c>
      <c r="P62" s="17">
        <f>ROUND(P54+P60,2)</f>
        <v>167239.99</v>
      </c>
      <c r="Q62" s="17">
        <f>ROUND(Q54+Q60,2)</f>
        <v>263169.38</v>
      </c>
      <c r="R62" s="17">
        <f>P62+Q62</f>
        <v>430409.37</v>
      </c>
      <c r="T62" s="17">
        <f>ROUND(T54+T60,2)</f>
        <v>0</v>
      </c>
      <c r="U62" s="17">
        <f>ROUND(U54+U60,2)</f>
        <v>0</v>
      </c>
      <c r="V62" s="17">
        <f>T62+U62</f>
        <v>0</v>
      </c>
      <c r="X62" s="17">
        <f>D62+H62+L62+P62+T62</f>
        <v>338417.9</v>
      </c>
      <c r="Y62" s="17">
        <f>E62+I62+M62+Q62+U62</f>
        <v>939591.83999999985</v>
      </c>
      <c r="Z62" s="17">
        <f>X62+Y62</f>
        <v>1278009.7399999998</v>
      </c>
    </row>
    <row r="63" spans="2:26" ht="15.75" thickTop="1" x14ac:dyDescent="0.25">
      <c r="B63" s="2"/>
      <c r="C63" s="2"/>
    </row>
    <row r="64" spans="2:26" x14ac:dyDescent="0.25">
      <c r="B64" s="2"/>
      <c r="C64" s="2"/>
    </row>
    <row r="65" spans="1:26" x14ac:dyDescent="0.25">
      <c r="A65" s="35" t="s">
        <v>54</v>
      </c>
      <c r="B65" s="35"/>
      <c r="C65" s="19"/>
    </row>
    <row r="67" spans="1:26" x14ac:dyDescent="0.25">
      <c r="B67" s="5" t="s">
        <v>397</v>
      </c>
      <c r="C67" s="5"/>
      <c r="T67" s="1"/>
    </row>
    <row r="68" spans="1:26" x14ac:dyDescent="0.25">
      <c r="B68" s="2" t="s">
        <v>716</v>
      </c>
      <c r="C68" s="2"/>
      <c r="D68" s="9">
        <v>0</v>
      </c>
      <c r="E68" s="9">
        <f>670000/10</f>
        <v>67000</v>
      </c>
      <c r="F68" s="8">
        <f>D68+E68</f>
        <v>67000</v>
      </c>
      <c r="H68" s="9">
        <v>0</v>
      </c>
      <c r="I68" s="9">
        <f>670000/10</f>
        <v>67000</v>
      </c>
      <c r="J68" s="8">
        <f>H68+I68</f>
        <v>67000</v>
      </c>
      <c r="L68" s="9">
        <v>0</v>
      </c>
      <c r="M68" s="9">
        <f>670000/10</f>
        <v>67000</v>
      </c>
      <c r="N68" s="8">
        <f>L68+M68</f>
        <v>67000</v>
      </c>
      <c r="P68" s="9">
        <v>0</v>
      </c>
      <c r="Q68" s="9">
        <f>670000-E68-I68-M68</f>
        <v>469000</v>
      </c>
      <c r="R68" s="8">
        <f>P68+Q68</f>
        <v>469000</v>
      </c>
      <c r="T68" s="1"/>
      <c r="U68" s="1"/>
      <c r="V68" s="1"/>
      <c r="X68" s="8">
        <f t="shared" ref="X68:Z71" si="30">D68+H68+L68+P68+T68</f>
        <v>0</v>
      </c>
      <c r="Y68" s="8">
        <f t="shared" si="30"/>
        <v>670000</v>
      </c>
      <c r="Z68" s="8">
        <f t="shared" si="30"/>
        <v>670000</v>
      </c>
    </row>
    <row r="69" spans="1:26" x14ac:dyDescent="0.25">
      <c r="B69" s="2" t="s">
        <v>398</v>
      </c>
      <c r="C69" s="2"/>
      <c r="D69" s="9">
        <v>0</v>
      </c>
      <c r="E69" s="9">
        <f>67000*0.17</f>
        <v>11390</v>
      </c>
      <c r="F69" s="8">
        <f>D69+E69</f>
        <v>11390</v>
      </c>
      <c r="H69" s="9">
        <v>0</v>
      </c>
      <c r="I69" s="9">
        <f>67000*0.17</f>
        <v>11390</v>
      </c>
      <c r="J69" s="8">
        <f>H69+I69</f>
        <v>11390</v>
      </c>
      <c r="L69" s="9">
        <v>0</v>
      </c>
      <c r="M69" s="9">
        <f>67000*0.17</f>
        <v>11390</v>
      </c>
      <c r="N69" s="8">
        <f>L69+M69</f>
        <v>11390</v>
      </c>
      <c r="P69" s="9">
        <v>0</v>
      </c>
      <c r="Q69" s="9">
        <f>670000*0.17-E69-I69-M69</f>
        <v>79730.000000000015</v>
      </c>
      <c r="R69" s="8">
        <f>P69+Q69</f>
        <v>79730.000000000015</v>
      </c>
      <c r="X69" s="8">
        <f t="shared" si="30"/>
        <v>0</v>
      </c>
      <c r="Y69" s="8">
        <f t="shared" si="30"/>
        <v>113900.00000000001</v>
      </c>
      <c r="Z69" s="8">
        <f t="shared" si="30"/>
        <v>113900.00000000001</v>
      </c>
    </row>
    <row r="70" spans="1:26" ht="15.75" thickBot="1" x14ac:dyDescent="0.3">
      <c r="B70" s="2" t="s">
        <v>399</v>
      </c>
      <c r="C70" s="2"/>
      <c r="D70" s="14">
        <v>0</v>
      </c>
      <c r="E70" s="14">
        <f>1000/10</f>
        <v>100</v>
      </c>
      <c r="F70" s="15">
        <f>D70+E70</f>
        <v>100</v>
      </c>
      <c r="H70" s="14">
        <v>0</v>
      </c>
      <c r="I70" s="14">
        <f>1000/10</f>
        <v>100</v>
      </c>
      <c r="J70" s="15">
        <f>H70+I70</f>
        <v>100</v>
      </c>
      <c r="L70" s="14">
        <v>0</v>
      </c>
      <c r="M70" s="14">
        <f>1000/10</f>
        <v>100</v>
      </c>
      <c r="N70" s="15">
        <f>L70+M70</f>
        <v>100</v>
      </c>
      <c r="P70" s="14">
        <v>0</v>
      </c>
      <c r="Q70" s="14">
        <f>1000-E70-I70-M70</f>
        <v>700</v>
      </c>
      <c r="R70" s="15">
        <f>P70+Q70</f>
        <v>700</v>
      </c>
      <c r="X70" s="15">
        <f t="shared" si="30"/>
        <v>0</v>
      </c>
      <c r="Y70" s="15">
        <f t="shared" si="30"/>
        <v>1000</v>
      </c>
      <c r="Z70" s="15">
        <f t="shared" si="30"/>
        <v>1000</v>
      </c>
    </row>
    <row r="71" spans="1:26" x14ac:dyDescent="0.25">
      <c r="B71" s="2" t="s">
        <v>400</v>
      </c>
      <c r="C71" s="2"/>
      <c r="D71" s="26">
        <f>SUM(D68:D70)</f>
        <v>0</v>
      </c>
      <c r="E71" s="26">
        <f>SUM(E68:E70)</f>
        <v>78490</v>
      </c>
      <c r="F71" s="26">
        <f>D71+E71</f>
        <v>78490</v>
      </c>
      <c r="H71" s="26">
        <f>SUM(H68:H70)</f>
        <v>0</v>
      </c>
      <c r="I71" s="26">
        <f>SUM(I68:I70)</f>
        <v>78490</v>
      </c>
      <c r="J71" s="26">
        <f>H71+I71</f>
        <v>78490</v>
      </c>
      <c r="L71" s="26">
        <f>SUM(L68:L70)</f>
        <v>0</v>
      </c>
      <c r="M71" s="26">
        <f>SUM(M68:M70)</f>
        <v>78490</v>
      </c>
      <c r="N71" s="26">
        <f>L71+M71</f>
        <v>78490</v>
      </c>
      <c r="P71" s="26">
        <f>SUM(P68:P70)</f>
        <v>0</v>
      </c>
      <c r="Q71" s="26">
        <f>SUM(Q68:Q70)</f>
        <v>549430</v>
      </c>
      <c r="R71" s="26">
        <f>P71+Q71</f>
        <v>549430</v>
      </c>
      <c r="S71" s="1"/>
      <c r="T71" s="26">
        <f>SUM(T68:T70)</f>
        <v>0</v>
      </c>
      <c r="U71" s="26">
        <f>SUM(U68:U70)</f>
        <v>0</v>
      </c>
      <c r="V71" s="26">
        <f>T71+U71</f>
        <v>0</v>
      </c>
      <c r="X71" s="26">
        <f t="shared" si="30"/>
        <v>0</v>
      </c>
      <c r="Y71" s="26">
        <f t="shared" si="30"/>
        <v>784900</v>
      </c>
      <c r="Z71" s="26">
        <f t="shared" si="30"/>
        <v>784900</v>
      </c>
    </row>
    <row r="72" spans="1:26" x14ac:dyDescent="0.25">
      <c r="B72" s="2"/>
      <c r="C72" s="2"/>
    </row>
    <row r="73" spans="1:26" x14ac:dyDescent="0.25">
      <c r="B73" s="5" t="s">
        <v>401</v>
      </c>
      <c r="C73" s="5"/>
      <c r="T73" s="1"/>
    </row>
    <row r="74" spans="1:26" x14ac:dyDescent="0.25">
      <c r="B74" s="2" t="s">
        <v>86</v>
      </c>
      <c r="C74" s="2"/>
      <c r="H74" s="1"/>
      <c r="I74" s="1"/>
      <c r="J74" s="1"/>
      <c r="L74" s="1"/>
      <c r="M74" s="1"/>
      <c r="P74" s="9">
        <v>0</v>
      </c>
      <c r="Q74" s="8">
        <f>-T74</f>
        <v>-3000</v>
      </c>
      <c r="R74" s="8">
        <f>P74+Q74</f>
        <v>-3000</v>
      </c>
      <c r="T74" s="9">
        <f>2500+500</f>
        <v>3000</v>
      </c>
      <c r="U74" s="9">
        <v>0</v>
      </c>
      <c r="V74" s="8">
        <f>T74+U74</f>
        <v>3000</v>
      </c>
      <c r="X74" s="8">
        <f t="shared" ref="X74:Z78" si="31">D74+H74+L74+P74+T74</f>
        <v>3000</v>
      </c>
      <c r="Y74" s="8">
        <f t="shared" si="31"/>
        <v>-3000</v>
      </c>
      <c r="Z74" s="8">
        <f t="shared" si="31"/>
        <v>0</v>
      </c>
    </row>
    <row r="75" spans="1:26" x14ac:dyDescent="0.25">
      <c r="B75" s="2" t="s">
        <v>402</v>
      </c>
      <c r="C75" s="6" t="s">
        <v>17</v>
      </c>
      <c r="L75" s="9">
        <v>90000</v>
      </c>
      <c r="M75" s="8">
        <f>-L75</f>
        <v>-90000</v>
      </c>
      <c r="N75" s="8">
        <f>L75+M75</f>
        <v>0</v>
      </c>
      <c r="P75" s="9">
        <f>482890.62-L75</f>
        <v>392890.62</v>
      </c>
      <c r="Q75" s="8">
        <f>-P75</f>
        <v>-392890.62</v>
      </c>
      <c r="R75" s="8">
        <f>P75+Q75</f>
        <v>0</v>
      </c>
      <c r="X75" s="8">
        <f t="shared" ref="X75" si="32">D75+H75+L75+P75+T75</f>
        <v>482890.62</v>
      </c>
      <c r="Y75" s="8">
        <f t="shared" ref="Y75" si="33">E75+I75+M75+Q75+U75</f>
        <v>-482890.62</v>
      </c>
      <c r="Z75" s="8">
        <f t="shared" ref="Z75" si="34">F75+J75+N75+R75+V75</f>
        <v>0</v>
      </c>
    </row>
    <row r="76" spans="1:26" x14ac:dyDescent="0.25">
      <c r="B76" s="2" t="s">
        <v>585</v>
      </c>
      <c r="C76" s="6" t="s">
        <v>442</v>
      </c>
      <c r="D76" s="9">
        <v>51385</v>
      </c>
      <c r="E76" s="8">
        <f>-D76</f>
        <v>-51385</v>
      </c>
      <c r="F76" s="8">
        <f>D76+E76</f>
        <v>0</v>
      </c>
      <c r="H76" s="1"/>
      <c r="I76" s="1"/>
      <c r="J76" s="1"/>
      <c r="L76" s="1"/>
      <c r="M76" s="1"/>
      <c r="X76" s="8">
        <f t="shared" ref="X76" si="35">D76+H76+L76+P76+T76</f>
        <v>51385</v>
      </c>
      <c r="Y76" s="8">
        <f t="shared" ref="Y76" si="36">E76+I76+M76+Q76+U76</f>
        <v>-51385</v>
      </c>
      <c r="Z76" s="8">
        <f t="shared" ref="Z76" si="37">F76+J76+N76+R76+V76</f>
        <v>0</v>
      </c>
    </row>
    <row r="77" spans="1:26" ht="15.75" thickBot="1" x14ac:dyDescent="0.3">
      <c r="B77" s="2" t="s">
        <v>438</v>
      </c>
      <c r="C77" s="6" t="s">
        <v>443</v>
      </c>
      <c r="H77" s="9">
        <v>119000</v>
      </c>
      <c r="I77" s="8">
        <f>-H77</f>
        <v>-119000</v>
      </c>
      <c r="J77" s="8">
        <f>H77+I77</f>
        <v>0</v>
      </c>
      <c r="L77" s="1"/>
      <c r="M77" s="1"/>
      <c r="P77" s="9">
        <v>6000</v>
      </c>
      <c r="Q77" s="8">
        <f>-P77</f>
        <v>-6000</v>
      </c>
      <c r="R77" s="8">
        <f>P77+Q77</f>
        <v>0</v>
      </c>
      <c r="X77" s="8">
        <f t="shared" ref="X77" si="38">D77+H77+L77+P77+T77</f>
        <v>125000</v>
      </c>
      <c r="Y77" s="8">
        <f t="shared" ref="Y77" si="39">E77+I77+M77+Q77+U77</f>
        <v>-125000</v>
      </c>
      <c r="Z77" s="8">
        <f t="shared" ref="Z77" si="40">F77+J77+N77+R77+V77</f>
        <v>0</v>
      </c>
    </row>
    <row r="78" spans="1:26" x14ac:dyDescent="0.25">
      <c r="B78" s="2" t="s">
        <v>403</v>
      </c>
      <c r="C78" s="2"/>
      <c r="D78" s="26">
        <f>SUM(D74:D77)</f>
        <v>51385</v>
      </c>
      <c r="E78" s="26">
        <f>SUM(E74:E77)</f>
        <v>-51385</v>
      </c>
      <c r="F78" s="26">
        <f>D78+E78</f>
        <v>0</v>
      </c>
      <c r="H78" s="26">
        <f>SUM(H74:H77)</f>
        <v>119000</v>
      </c>
      <c r="I78" s="26">
        <f>SUM(I74:I77)</f>
        <v>-119000</v>
      </c>
      <c r="J78" s="26">
        <f>H78+I78</f>
        <v>0</v>
      </c>
      <c r="L78" s="26">
        <f>SUM(L74:L77)</f>
        <v>90000</v>
      </c>
      <c r="M78" s="26">
        <f>SUM(M74:M77)</f>
        <v>-90000</v>
      </c>
      <c r="N78" s="26">
        <f>L78+M78</f>
        <v>0</v>
      </c>
      <c r="P78" s="26">
        <f>SUM(P74:P77)</f>
        <v>398890.62</v>
      </c>
      <c r="Q78" s="26">
        <f>SUM(Q74:Q77)</f>
        <v>-401890.62</v>
      </c>
      <c r="R78" s="26">
        <f>P78+Q78</f>
        <v>-3000</v>
      </c>
      <c r="S78" s="1"/>
      <c r="T78" s="26">
        <f>SUM(T74:T77)</f>
        <v>3000</v>
      </c>
      <c r="U78" s="26">
        <f>SUM(U74:U77)</f>
        <v>0</v>
      </c>
      <c r="V78" s="26">
        <f>T78+U78</f>
        <v>3000</v>
      </c>
      <c r="X78" s="26">
        <f t="shared" si="31"/>
        <v>662275.62</v>
      </c>
      <c r="Y78" s="26">
        <f t="shared" si="31"/>
        <v>-662275.62</v>
      </c>
      <c r="Z78" s="26">
        <f t="shared" si="31"/>
        <v>0</v>
      </c>
    </row>
    <row r="79" spans="1:26" x14ac:dyDescent="0.25">
      <c r="B79" s="2"/>
      <c r="C79" s="2"/>
    </row>
    <row r="80" spans="1:26" x14ac:dyDescent="0.25">
      <c r="B80" s="2" t="s">
        <v>404</v>
      </c>
      <c r="C80" s="2"/>
      <c r="D80" s="8">
        <f>D71+D78</f>
        <v>51385</v>
      </c>
      <c r="E80" s="8">
        <f>E71+E78</f>
        <v>27105</v>
      </c>
      <c r="F80" s="8">
        <f>D80+E80</f>
        <v>78490</v>
      </c>
      <c r="H80" s="8">
        <f>H71+H78</f>
        <v>119000</v>
      </c>
      <c r="I80" s="8">
        <f>I71+I78</f>
        <v>-40510</v>
      </c>
      <c r="J80" s="8">
        <f>H80+I80</f>
        <v>78490</v>
      </c>
      <c r="L80" s="8">
        <f>L71+L78</f>
        <v>90000</v>
      </c>
      <c r="M80" s="8">
        <f>M71+M78</f>
        <v>-11510</v>
      </c>
      <c r="N80" s="8">
        <f>L80+M80</f>
        <v>78490</v>
      </c>
      <c r="P80" s="8">
        <f>P71+P78</f>
        <v>398890.62</v>
      </c>
      <c r="Q80" s="8">
        <f>Q71+Q78</f>
        <v>147539.38</v>
      </c>
      <c r="R80" s="8">
        <f>P80+Q80</f>
        <v>546430</v>
      </c>
      <c r="T80" s="8">
        <f>T71+T78</f>
        <v>3000</v>
      </c>
      <c r="U80" s="8">
        <f>U71+U78</f>
        <v>0</v>
      </c>
      <c r="V80" s="8">
        <f>T80+U80</f>
        <v>3000</v>
      </c>
      <c r="X80" s="8">
        <f>D80+H80+L80+P80+T80</f>
        <v>662275.62</v>
      </c>
      <c r="Y80" s="8">
        <f>E80+I80+M80+Q80+U80</f>
        <v>122624.38</v>
      </c>
      <c r="Z80" s="8">
        <f>F80+J80+N80+R80+V80</f>
        <v>784900</v>
      </c>
    </row>
    <row r="81" spans="2:18" x14ac:dyDescent="0.25">
      <c r="B81" s="2"/>
      <c r="C81" s="2"/>
    </row>
    <row r="83" spans="2:18" x14ac:dyDescent="0.25">
      <c r="D83" t="s">
        <v>72</v>
      </c>
    </row>
    <row r="84" spans="2:18" x14ac:dyDescent="0.25">
      <c r="D84" s="2"/>
    </row>
    <row r="85" spans="2:18" x14ac:dyDescent="0.25">
      <c r="D85" s="2" t="s">
        <v>58</v>
      </c>
      <c r="E85" t="s">
        <v>444</v>
      </c>
    </row>
    <row r="86" spans="2:18" x14ac:dyDescent="0.25">
      <c r="D86" s="2" t="s">
        <v>60</v>
      </c>
      <c r="E86" t="s">
        <v>437</v>
      </c>
    </row>
    <row r="89" spans="2:18" x14ac:dyDescent="0.25">
      <c r="D89" t="s">
        <v>416</v>
      </c>
    </row>
    <row r="91" spans="2:18" x14ac:dyDescent="0.25">
      <c r="D91" s="36" t="s">
        <v>3</v>
      </c>
      <c r="E91" s="36"/>
      <c r="F91" s="36"/>
      <c r="H91" s="36" t="s">
        <v>4</v>
      </c>
      <c r="I91" s="36"/>
      <c r="J91" s="36"/>
      <c r="L91" s="36" t="s">
        <v>2</v>
      </c>
      <c r="M91" s="36"/>
      <c r="N91" s="36"/>
      <c r="P91" s="36" t="s">
        <v>13</v>
      </c>
      <c r="Q91" s="36"/>
      <c r="R91" s="36"/>
    </row>
    <row r="92" spans="2:18" x14ac:dyDescent="0.25">
      <c r="D92" s="6"/>
      <c r="E92" s="6"/>
      <c r="F92" s="6"/>
      <c r="H92" s="6"/>
      <c r="I92" s="6"/>
      <c r="J92" s="6"/>
    </row>
    <row r="93" spans="2:18" x14ac:dyDescent="0.25">
      <c r="E93" s="6" t="s">
        <v>110</v>
      </c>
      <c r="F93" s="6" t="s">
        <v>111</v>
      </c>
      <c r="I93" s="6" t="s">
        <v>110</v>
      </c>
      <c r="J93" s="6" t="s">
        <v>111</v>
      </c>
      <c r="M93" s="6" t="s">
        <v>110</v>
      </c>
      <c r="N93" s="6" t="s">
        <v>111</v>
      </c>
      <c r="Q93" s="6" t="s">
        <v>110</v>
      </c>
      <c r="R93" s="6" t="s">
        <v>111</v>
      </c>
    </row>
    <row r="94" spans="2:18" x14ac:dyDescent="0.25">
      <c r="E94" s="6"/>
      <c r="F94" s="6"/>
    </row>
    <row r="95" spans="2:18" x14ac:dyDescent="0.25">
      <c r="E95" s="2" t="s">
        <v>585</v>
      </c>
      <c r="F95" s="11">
        <v>0</v>
      </c>
      <c r="I95" s="2" t="s">
        <v>582</v>
      </c>
      <c r="J95" s="9">
        <v>111520.8</v>
      </c>
      <c r="M95" s="2" t="s">
        <v>343</v>
      </c>
      <c r="N95" s="9">
        <v>29963</v>
      </c>
      <c r="Q95" s="2" t="s">
        <v>409</v>
      </c>
      <c r="R95" s="9">
        <v>266857.38</v>
      </c>
    </row>
    <row r="96" spans="2:18" x14ac:dyDescent="0.25">
      <c r="E96" s="2" t="s">
        <v>113</v>
      </c>
      <c r="F96" s="13">
        <f>SUM(F95:F95)</f>
        <v>0</v>
      </c>
      <c r="I96" s="2" t="s">
        <v>385</v>
      </c>
      <c r="J96" s="9">
        <v>5948</v>
      </c>
      <c r="M96" s="2" t="s">
        <v>382</v>
      </c>
      <c r="N96" s="14">
        <v>5905.01</v>
      </c>
      <c r="Q96" s="2" t="s">
        <v>582</v>
      </c>
      <c r="R96" s="9">
        <f>129980+15350</f>
        <v>145330</v>
      </c>
    </row>
    <row r="97" spans="4:18" x14ac:dyDescent="0.25">
      <c r="I97" s="2" t="s">
        <v>306</v>
      </c>
      <c r="J97" s="9">
        <v>23927.5</v>
      </c>
      <c r="M97" s="2" t="s">
        <v>380</v>
      </c>
      <c r="N97" s="14">
        <v>30000</v>
      </c>
      <c r="Q97" s="2" t="s">
        <v>382</v>
      </c>
      <c r="R97" s="9">
        <v>18438.87</v>
      </c>
    </row>
    <row r="98" spans="4:18" x14ac:dyDescent="0.25">
      <c r="I98" s="2" t="s">
        <v>113</v>
      </c>
      <c r="J98" s="13">
        <f>SUM(J95:J97)</f>
        <v>141396.29999999999</v>
      </c>
      <c r="M98" s="2" t="s">
        <v>113</v>
      </c>
      <c r="N98" s="13">
        <f>SUM(N95:N97)</f>
        <v>65868.010000000009</v>
      </c>
      <c r="Q98" s="2" t="s">
        <v>589</v>
      </c>
      <c r="R98" s="9">
        <v>4810.5600000000004</v>
      </c>
    </row>
    <row r="99" spans="4:18" x14ac:dyDescent="0.25">
      <c r="Q99" s="2" t="s">
        <v>380</v>
      </c>
      <c r="R99" s="9">
        <v>110000</v>
      </c>
    </row>
    <row r="100" spans="4:18" x14ac:dyDescent="0.25">
      <c r="Q100" s="2" t="s">
        <v>113</v>
      </c>
      <c r="R100" s="13">
        <f>SUM(R95:R99)</f>
        <v>545436.81000000006</v>
      </c>
    </row>
    <row r="101" spans="4:18" x14ac:dyDescent="0.25">
      <c r="D101" s="6" t="s">
        <v>118</v>
      </c>
      <c r="E101" s="1"/>
    </row>
    <row r="102" spans="4:18" x14ac:dyDescent="0.25">
      <c r="D102" s="2" t="s">
        <v>58</v>
      </c>
      <c r="E102" t="s">
        <v>419</v>
      </c>
    </row>
    <row r="103" spans="4:18" x14ac:dyDescent="0.25">
      <c r="D103" s="2" t="s">
        <v>60</v>
      </c>
      <c r="E103" t="s">
        <v>420</v>
      </c>
    </row>
    <row r="104" spans="4:18" x14ac:dyDescent="0.25">
      <c r="D104" s="2" t="s">
        <v>109</v>
      </c>
      <c r="E104" t="str">
        <f>"FY2021 local surtax revenue will be " &amp; TEXT(Z68,"$#,0")</f>
        <v>FY2021 local surtax revenue will be $670,000</v>
      </c>
    </row>
    <row r="105" spans="4:18" x14ac:dyDescent="0.25">
      <c r="D105" s="2" t="s">
        <v>119</v>
      </c>
      <c r="E105" t="str">
        <f>"FY2021 state match revenue (expected on 15 November 2020) will be " &amp; TEXT(Z69,"$#,0.00") &amp; " or " &amp; TEXT(Z12/Z10,"0.0%") &amp; " of expected FY2020 local surtax revenue"</f>
        <v>FY2021 state match revenue (expected on 15 November 2020) will be $113,900.00 or 33.6% of expected FY2020 local surtax revenue</v>
      </c>
    </row>
    <row r="106" spans="4:18" x14ac:dyDescent="0.25">
      <c r="D106" s="2" t="s">
        <v>120</v>
      </c>
      <c r="E106" t="str">
        <f>"FY2021 interest earned will be " &amp; TEXT(Z70,"$#,0.00")</f>
        <v>FY2021 interest earned will be $1,000.00</v>
      </c>
    </row>
    <row r="107" spans="4:18" x14ac:dyDescent="0.25">
      <c r="D107" s="2" t="s">
        <v>121</v>
      </c>
      <c r="E107" t="s">
        <v>421</v>
      </c>
    </row>
  </sheetData>
  <sortState xmlns:xlrd2="http://schemas.microsoft.com/office/spreadsheetml/2017/richdata2" ref="A31:Z42">
    <sortCondition ref="C31:C42"/>
  </sortState>
  <mergeCells count="11">
    <mergeCell ref="X4:Z4"/>
    <mergeCell ref="D4:F4"/>
    <mergeCell ref="H4:J4"/>
    <mergeCell ref="L4:N4"/>
    <mergeCell ref="P4:R4"/>
    <mergeCell ref="T4:V4"/>
    <mergeCell ref="A65:B65"/>
    <mergeCell ref="D91:F91"/>
    <mergeCell ref="H91:J91"/>
    <mergeCell ref="L91:N91"/>
    <mergeCell ref="P91:R91"/>
  </mergeCells>
  <printOptions horizontalCentered="1"/>
  <pageMargins left="0.25" right="0.25" top="0.75" bottom="0.75" header="0.3" footer="0.3"/>
  <pageSetup paperSize="5" scale="54" fitToHeight="0" orientation="landscape" r:id="rId1"/>
  <headerFooter>
    <oddFooter>&amp;L&amp;F&amp;CPage &amp;P of &amp;N&amp;R10 August 2020</oddFooter>
  </headerFooter>
  <rowBreaks count="1" manualBreakCount="1">
    <brk id="6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Z103"/>
  <sheetViews>
    <sheetView zoomScaleNormal="100" zoomScalePageLayoutView="40" workbookViewId="0">
      <pane xSplit="2" ySplit="6" topLeftCell="C59" activePane="bottomRight" state="frozen"/>
      <selection pane="topRight"/>
      <selection pane="bottomLeft"/>
      <selection pane="bottomRight" activeCell="A76" sqref="A76"/>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7" max="27" width="11.85546875" bestFit="1" customWidth="1"/>
  </cols>
  <sheetData>
    <row r="1" spans="1:26" x14ac:dyDescent="0.25">
      <c r="A1" s="6"/>
    </row>
    <row r="2" spans="1:26" x14ac:dyDescent="0.25">
      <c r="D2" t="s">
        <v>613</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349</v>
      </c>
      <c r="C7" s="2"/>
      <c r="D7" s="8">
        <f>'FY18'!D68</f>
        <v>0</v>
      </c>
      <c r="E7" s="8">
        <f>'FY18'!E68</f>
        <v>458964.47999999998</v>
      </c>
      <c r="F7" s="8">
        <f>D7+E7</f>
        <v>458964.47999999998</v>
      </c>
      <c r="H7" s="8">
        <f>'FY18'!H68</f>
        <v>99669.11</v>
      </c>
      <c r="I7" s="8">
        <f>'FY18'!I68</f>
        <v>18871.43</v>
      </c>
      <c r="J7" s="8">
        <f>H7+I7</f>
        <v>118540.54000000001</v>
      </c>
      <c r="L7" s="8">
        <f>'FY18'!L68</f>
        <v>23200</v>
      </c>
      <c r="M7" s="8">
        <f>'FY18'!M68</f>
        <v>16916.560000000001</v>
      </c>
      <c r="N7" s="8">
        <f>L7+M7</f>
        <v>40116.559999999998</v>
      </c>
      <c r="P7" s="8">
        <f>'FY18'!P68</f>
        <v>306645.15000000002</v>
      </c>
      <c r="Q7" s="8">
        <f>'FY18'!Q68</f>
        <v>180536.65</v>
      </c>
      <c r="R7" s="8">
        <f>P7+Q7</f>
        <v>487181.80000000005</v>
      </c>
      <c r="T7" s="8">
        <f>'FY18'!T68</f>
        <v>0</v>
      </c>
      <c r="U7" s="8">
        <f>'FY18'!U68</f>
        <v>0</v>
      </c>
      <c r="V7" s="8">
        <f>T7+U7</f>
        <v>0</v>
      </c>
      <c r="X7" s="8">
        <f>D7+H7+L7+P7+T7</f>
        <v>429514.26</v>
      </c>
      <c r="Y7" s="8">
        <f>E7+I7+M7+Q7+U7</f>
        <v>675289.12</v>
      </c>
      <c r="Z7" s="8">
        <f>F7+J7+N7+R7+V7</f>
        <v>1104803.3800000001</v>
      </c>
    </row>
    <row r="9" spans="1:26" x14ac:dyDescent="0.25">
      <c r="B9" s="5" t="s">
        <v>11</v>
      </c>
      <c r="C9" s="5"/>
      <c r="T9" s="1"/>
      <c r="U9" s="1"/>
      <c r="V9" s="1"/>
    </row>
    <row r="10" spans="1:26" x14ac:dyDescent="0.25">
      <c r="B10" s="2" t="s">
        <v>717</v>
      </c>
      <c r="C10" s="2"/>
      <c r="D10" s="9">
        <v>0</v>
      </c>
      <c r="E10" s="9">
        <f>ROUND(730359.75/10,2)</f>
        <v>73035.98</v>
      </c>
      <c r="F10" s="8">
        <f t="shared" ref="F10:F15" si="0">D10+E10</f>
        <v>73035.98</v>
      </c>
      <c r="H10" s="9">
        <v>0</v>
      </c>
      <c r="I10" s="9">
        <f>ROUND(730359.75/10,2)</f>
        <v>73035.98</v>
      </c>
      <c r="J10" s="8">
        <f t="shared" ref="J10:J15" si="1">H10+I10</f>
        <v>73035.98</v>
      </c>
      <c r="L10" s="9">
        <v>0</v>
      </c>
      <c r="M10" s="9">
        <f>ROUND(730359.75/10,2)</f>
        <v>73035.98</v>
      </c>
      <c r="N10" s="8">
        <f t="shared" ref="N10:N15" si="2">L10+M10</f>
        <v>73035.98</v>
      </c>
      <c r="P10" s="9">
        <v>0</v>
      </c>
      <c r="Q10" s="9">
        <f>730359.75-E10-I10-M10</f>
        <v>511251.81000000006</v>
      </c>
      <c r="R10" s="8">
        <f t="shared" ref="R10:R15" si="3">P10+Q10</f>
        <v>511251.81000000006</v>
      </c>
      <c r="T10" s="1"/>
      <c r="U10" s="1"/>
      <c r="V10" s="1"/>
      <c r="X10" s="8">
        <f t="shared" ref="X10:Z15" si="4">D10+H10+L10+P10+T10</f>
        <v>0</v>
      </c>
      <c r="Y10" s="8">
        <f t="shared" si="4"/>
        <v>730359.75</v>
      </c>
      <c r="Z10" s="8">
        <f t="shared" si="4"/>
        <v>730359.75</v>
      </c>
    </row>
    <row r="11" spans="1:26" x14ac:dyDescent="0.25">
      <c r="B11" s="2" t="s">
        <v>5</v>
      </c>
      <c r="C11" s="2"/>
      <c r="D11" s="9">
        <v>0</v>
      </c>
      <c r="E11" s="9">
        <f>ROUND(2275.42/10,2)</f>
        <v>227.54</v>
      </c>
      <c r="F11" s="8">
        <f t="shared" si="0"/>
        <v>227.54</v>
      </c>
      <c r="H11" s="9">
        <v>0</v>
      </c>
      <c r="I11" s="9">
        <f>ROUND(2275.42/10,2)</f>
        <v>227.54</v>
      </c>
      <c r="J11" s="8">
        <f t="shared" si="1"/>
        <v>227.54</v>
      </c>
      <c r="L11" s="9">
        <v>0</v>
      </c>
      <c r="M11" s="9">
        <f>ROUND(2275.42/10,2)</f>
        <v>227.54</v>
      </c>
      <c r="N11" s="8">
        <f t="shared" si="2"/>
        <v>227.54</v>
      </c>
      <c r="P11" s="9">
        <v>0</v>
      </c>
      <c r="Q11" s="9">
        <f>2275.42-E11-I11-M11</f>
        <v>1592.8000000000002</v>
      </c>
      <c r="R11" s="8">
        <f t="shared" si="3"/>
        <v>1592.8000000000002</v>
      </c>
      <c r="T11" s="1"/>
      <c r="U11" s="1"/>
      <c r="V11" s="1"/>
      <c r="X11" s="8">
        <f t="shared" si="4"/>
        <v>0</v>
      </c>
      <c r="Y11" s="8">
        <f t="shared" si="4"/>
        <v>2275.42</v>
      </c>
      <c r="Z11" s="8">
        <f t="shared" si="4"/>
        <v>2275.42</v>
      </c>
    </row>
    <row r="12" spans="1:26" x14ac:dyDescent="0.25">
      <c r="B12" s="2" t="s">
        <v>317</v>
      </c>
      <c r="C12" s="2"/>
      <c r="D12" s="9">
        <v>0</v>
      </c>
      <c r="E12" s="9">
        <f>197460/10</f>
        <v>19746</v>
      </c>
      <c r="F12" s="8">
        <f t="shared" si="0"/>
        <v>19746</v>
      </c>
      <c r="H12" s="9">
        <v>0</v>
      </c>
      <c r="I12" s="9">
        <f>197460/10</f>
        <v>19746</v>
      </c>
      <c r="J12" s="8">
        <f t="shared" si="1"/>
        <v>19746</v>
      </c>
      <c r="L12" s="9">
        <v>0</v>
      </c>
      <c r="M12" s="9">
        <f>197460/10</f>
        <v>19746</v>
      </c>
      <c r="N12" s="8">
        <f t="shared" si="2"/>
        <v>19746</v>
      </c>
      <c r="P12" s="9">
        <v>0</v>
      </c>
      <c r="Q12" s="9">
        <f>197460-E12-I12-M12</f>
        <v>138222</v>
      </c>
      <c r="R12" s="8">
        <f t="shared" si="3"/>
        <v>138222</v>
      </c>
      <c r="T12" s="1"/>
      <c r="U12" s="1"/>
      <c r="V12" s="1"/>
      <c r="X12" s="8">
        <f t="shared" si="4"/>
        <v>0</v>
      </c>
      <c r="Y12" s="8">
        <f t="shared" si="4"/>
        <v>197460</v>
      </c>
      <c r="Z12" s="8">
        <f t="shared" si="4"/>
        <v>197460</v>
      </c>
    </row>
    <row r="13" spans="1: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1:26" ht="15.75" thickBot="1" x14ac:dyDescent="0.3">
      <c r="B14" s="2" t="s">
        <v>333</v>
      </c>
      <c r="C14" s="2"/>
      <c r="D14" s="9">
        <v>0</v>
      </c>
      <c r="E14" s="9">
        <f>ROUND(20813.51/10,2)</f>
        <v>2081.35</v>
      </c>
      <c r="F14" s="15">
        <f t="shared" si="0"/>
        <v>2081.35</v>
      </c>
      <c r="H14" s="14">
        <v>0</v>
      </c>
      <c r="I14" s="9">
        <f>ROUND(20813.51/10,2)</f>
        <v>2081.35</v>
      </c>
      <c r="J14" s="15">
        <f t="shared" si="1"/>
        <v>2081.35</v>
      </c>
      <c r="L14" s="14">
        <v>0</v>
      </c>
      <c r="M14" s="9">
        <f>ROUND(20813.51/10,2)</f>
        <v>2081.35</v>
      </c>
      <c r="N14" s="15">
        <f t="shared" si="2"/>
        <v>2081.35</v>
      </c>
      <c r="P14" s="14">
        <v>0</v>
      </c>
      <c r="Q14" s="9">
        <f>20813.51-E14-I14-M14</f>
        <v>14569.460000000001</v>
      </c>
      <c r="R14" s="15">
        <f t="shared" si="3"/>
        <v>14569.460000000001</v>
      </c>
      <c r="T14" s="1"/>
      <c r="U14" s="1"/>
      <c r="V14" s="1"/>
      <c r="X14" s="15">
        <f t="shared" si="4"/>
        <v>0</v>
      </c>
      <c r="Y14" s="15">
        <f t="shared" si="4"/>
        <v>20813.510000000002</v>
      </c>
      <c r="Z14" s="15">
        <f t="shared" si="4"/>
        <v>20813.510000000002</v>
      </c>
    </row>
    <row r="15" spans="1:26" x14ac:dyDescent="0.25">
      <c r="B15" s="2" t="s">
        <v>28</v>
      </c>
      <c r="C15" s="2"/>
      <c r="D15" s="26">
        <f>SUM(D10:D14)</f>
        <v>0</v>
      </c>
      <c r="E15" s="26">
        <f>SUM(E10:E14)</f>
        <v>95090.87</v>
      </c>
      <c r="F15" s="26">
        <f t="shared" si="0"/>
        <v>95090.87</v>
      </c>
      <c r="H15" s="26">
        <f>SUM(H10:H14)</f>
        <v>0</v>
      </c>
      <c r="I15" s="26">
        <f>SUM(I10:I14)</f>
        <v>95090.87</v>
      </c>
      <c r="J15" s="26">
        <f t="shared" si="1"/>
        <v>95090.87</v>
      </c>
      <c r="L15" s="26">
        <f>SUM(L10:L14)</f>
        <v>0</v>
      </c>
      <c r="M15" s="26">
        <f>SUM(M10:M14)</f>
        <v>95090.87</v>
      </c>
      <c r="N15" s="26">
        <f t="shared" si="2"/>
        <v>95090.87</v>
      </c>
      <c r="P15" s="26">
        <f>SUM(P10:P14)</f>
        <v>0</v>
      </c>
      <c r="Q15" s="26">
        <f>SUM(Q10:Q14)</f>
        <v>665636.07000000007</v>
      </c>
      <c r="R15" s="26">
        <f t="shared" si="3"/>
        <v>665636.07000000007</v>
      </c>
      <c r="S15" s="1"/>
      <c r="T15" s="26">
        <f>SUM(T10:T14)</f>
        <v>0</v>
      </c>
      <c r="U15" s="26">
        <f>SUM(U10:U14)</f>
        <v>0</v>
      </c>
      <c r="V15" s="26">
        <f>T15+U15</f>
        <v>0</v>
      </c>
      <c r="X15" s="26">
        <f t="shared" si="4"/>
        <v>0</v>
      </c>
      <c r="Y15" s="26">
        <f t="shared" si="4"/>
        <v>950908.68</v>
      </c>
      <c r="Z15" s="26">
        <f t="shared" si="4"/>
        <v>950908.68</v>
      </c>
    </row>
    <row r="17" spans="2:26" x14ac:dyDescent="0.25">
      <c r="B17" s="5" t="s">
        <v>334</v>
      </c>
      <c r="C17" s="5"/>
      <c r="E17" s="1"/>
      <c r="F17" s="1"/>
      <c r="H17" s="1"/>
      <c r="I17" s="1"/>
      <c r="J17" s="1"/>
      <c r="M17" s="1"/>
      <c r="N17" s="1"/>
      <c r="P17" s="1"/>
      <c r="Q17" s="1"/>
      <c r="R17" s="1"/>
      <c r="T17" s="1"/>
      <c r="U17" s="1"/>
      <c r="V17" s="1"/>
    </row>
    <row r="18" spans="2:26" x14ac:dyDescent="0.25">
      <c r="B18" s="2" t="s">
        <v>7</v>
      </c>
      <c r="C18" s="2"/>
      <c r="H18" s="1"/>
      <c r="I18" s="1"/>
      <c r="J18" s="1"/>
      <c r="L18" s="1"/>
      <c r="M18" s="1"/>
      <c r="T18" s="9">
        <v>0</v>
      </c>
      <c r="U18" s="9">
        <v>0</v>
      </c>
      <c r="V18" s="8">
        <f>T18+U18</f>
        <v>0</v>
      </c>
      <c r="X18" s="8">
        <f t="shared" ref="X18:Z19" si="5">D18+H18+L18+P18+T18</f>
        <v>0</v>
      </c>
      <c r="Y18" s="8">
        <f t="shared" si="5"/>
        <v>0</v>
      </c>
      <c r="Z18" s="8">
        <f t="shared" si="5"/>
        <v>0</v>
      </c>
    </row>
    <row r="19" spans="2:26" x14ac:dyDescent="0.25">
      <c r="B19" s="2" t="s">
        <v>79</v>
      </c>
      <c r="C19" s="2"/>
      <c r="H19" s="1"/>
      <c r="I19" s="1"/>
      <c r="J19" s="1"/>
      <c r="L19" s="1"/>
      <c r="M19" s="1"/>
      <c r="P19" s="8">
        <v>0</v>
      </c>
      <c r="Q19" s="8">
        <f>-T19</f>
        <v>-5000</v>
      </c>
      <c r="R19" s="8">
        <f>P19+Q19</f>
        <v>-5000</v>
      </c>
      <c r="T19" s="9">
        <f>2500+2500</f>
        <v>5000</v>
      </c>
      <c r="U19" s="9">
        <v>0</v>
      </c>
      <c r="V19" s="8">
        <f>T19+U19</f>
        <v>5000</v>
      </c>
      <c r="X19" s="8">
        <f t="shared" si="5"/>
        <v>5000</v>
      </c>
      <c r="Y19" s="8">
        <f t="shared" si="5"/>
        <v>-5000</v>
      </c>
      <c r="Z19" s="8">
        <f t="shared" si="5"/>
        <v>0</v>
      </c>
    </row>
    <row r="20" spans="2:26" x14ac:dyDescent="0.25">
      <c r="B20" s="2" t="s">
        <v>321</v>
      </c>
      <c r="C20" s="6" t="s">
        <v>17</v>
      </c>
      <c r="L20" s="9">
        <v>60000</v>
      </c>
      <c r="M20" s="8">
        <f>-L20</f>
        <v>-60000</v>
      </c>
      <c r="N20" s="8">
        <f>L20+M20</f>
        <v>0</v>
      </c>
      <c r="P20" s="9">
        <f>479603.12-L20-163333.12</f>
        <v>256270</v>
      </c>
      <c r="Q20" s="8">
        <f>-P20</f>
        <v>-256270</v>
      </c>
      <c r="R20" s="8">
        <f>P20+Q20</f>
        <v>0</v>
      </c>
      <c r="X20" s="8">
        <f t="shared" ref="X20:Z24" si="6">D20+H20+L20+P20+T20</f>
        <v>316270</v>
      </c>
      <c r="Y20" s="8">
        <f t="shared" si="6"/>
        <v>-316270</v>
      </c>
      <c r="Z20" s="8">
        <f t="shared" si="6"/>
        <v>0</v>
      </c>
    </row>
    <row r="21" spans="2:26" x14ac:dyDescent="0.25">
      <c r="B21" s="2" t="s">
        <v>586</v>
      </c>
      <c r="C21" s="6" t="s">
        <v>377</v>
      </c>
      <c r="D21" s="9">
        <v>50668</v>
      </c>
      <c r="E21" s="8">
        <f>-D21</f>
        <v>-50668</v>
      </c>
      <c r="F21" s="8">
        <f>D21+E21</f>
        <v>0</v>
      </c>
      <c r="L21" s="1"/>
      <c r="M21" s="1"/>
      <c r="X21" s="8">
        <f t="shared" si="6"/>
        <v>50668</v>
      </c>
      <c r="Y21" s="8">
        <f t="shared" si="6"/>
        <v>-50668</v>
      </c>
      <c r="Z21" s="8">
        <f t="shared" si="6"/>
        <v>0</v>
      </c>
    </row>
    <row r="22" spans="2:26" x14ac:dyDescent="0.25">
      <c r="B22" s="2" t="s">
        <v>582</v>
      </c>
      <c r="C22" s="6" t="s">
        <v>378</v>
      </c>
      <c r="H22" s="9">
        <f>130000-74200</f>
        <v>55800</v>
      </c>
      <c r="I22" s="8">
        <f>-H22</f>
        <v>-55800</v>
      </c>
      <c r="J22" s="8">
        <f>H22+I22</f>
        <v>0</v>
      </c>
      <c r="L22" s="1"/>
      <c r="M22" s="1"/>
      <c r="P22" s="9">
        <v>145330</v>
      </c>
      <c r="Q22" s="8">
        <f>-P22</f>
        <v>-145330</v>
      </c>
      <c r="R22" s="8">
        <f>P22+Q22</f>
        <v>0</v>
      </c>
      <c r="X22" s="8">
        <f t="shared" si="6"/>
        <v>201130</v>
      </c>
      <c r="Y22" s="8">
        <f t="shared" si="6"/>
        <v>-201130</v>
      </c>
      <c r="Z22" s="8">
        <f t="shared" si="6"/>
        <v>0</v>
      </c>
    </row>
    <row r="23" spans="2:26" x14ac:dyDescent="0.25">
      <c r="B23" s="2" t="s">
        <v>385</v>
      </c>
      <c r="C23" s="6" t="s">
        <v>379</v>
      </c>
      <c r="H23" s="9">
        <v>18000</v>
      </c>
      <c r="I23" s="8">
        <f>-H23</f>
        <v>-18000</v>
      </c>
      <c r="J23" s="8">
        <f>H23+I23</f>
        <v>0</v>
      </c>
      <c r="X23" s="8">
        <f t="shared" si="6"/>
        <v>18000</v>
      </c>
      <c r="Y23" s="8">
        <f t="shared" si="6"/>
        <v>-18000</v>
      </c>
      <c r="Z23" s="8">
        <f t="shared" si="6"/>
        <v>0</v>
      </c>
    </row>
    <row r="24" spans="2:26" ht="15.75" thickBot="1" x14ac:dyDescent="0.3">
      <c r="B24" s="2" t="s">
        <v>380</v>
      </c>
      <c r="C24" s="6" t="s">
        <v>381</v>
      </c>
      <c r="L24" s="9">
        <f>30000-16200</f>
        <v>13800</v>
      </c>
      <c r="M24" s="8">
        <f>-L24</f>
        <v>-13800</v>
      </c>
      <c r="N24" s="8">
        <f>L24+M24</f>
        <v>0</v>
      </c>
      <c r="P24" s="14">
        <v>110000</v>
      </c>
      <c r="Q24" s="8">
        <f>-P24</f>
        <v>-110000</v>
      </c>
      <c r="R24" s="15">
        <f>P24+Q24</f>
        <v>0</v>
      </c>
      <c r="X24" s="8">
        <f t="shared" si="6"/>
        <v>123800</v>
      </c>
      <c r="Y24" s="8">
        <f t="shared" si="6"/>
        <v>-123800</v>
      </c>
      <c r="Z24" s="8">
        <f t="shared" si="6"/>
        <v>0</v>
      </c>
    </row>
    <row r="25" spans="2:26" x14ac:dyDescent="0.25">
      <c r="B25" s="2" t="s">
        <v>384</v>
      </c>
      <c r="C25" s="2"/>
      <c r="D25" s="26">
        <f>SUM(D18:D24)</f>
        <v>50668</v>
      </c>
      <c r="E25" s="26">
        <f>SUM(E18:E24)</f>
        <v>-50668</v>
      </c>
      <c r="F25" s="26">
        <f>D25+E25</f>
        <v>0</v>
      </c>
      <c r="H25" s="26">
        <f>SUM(H18:H24)</f>
        <v>73800</v>
      </c>
      <c r="I25" s="26">
        <f>SUM(I18:I24)</f>
        <v>-73800</v>
      </c>
      <c r="J25" s="26">
        <f>H25+I25</f>
        <v>0</v>
      </c>
      <c r="L25" s="26">
        <f>SUM(L18:L24)</f>
        <v>73800</v>
      </c>
      <c r="M25" s="26">
        <f>SUM(M18:M24)</f>
        <v>-73800</v>
      </c>
      <c r="N25" s="26">
        <f>L25+M25</f>
        <v>0</v>
      </c>
      <c r="P25" s="26">
        <f>SUM(P18:P24)</f>
        <v>511600</v>
      </c>
      <c r="Q25" s="26">
        <f>SUM(Q18:Q24)</f>
        <v>-516600</v>
      </c>
      <c r="R25" s="26">
        <f>P25+Q25</f>
        <v>-5000</v>
      </c>
      <c r="S25" s="1"/>
      <c r="T25" s="26">
        <f>SUM(T18:T24)</f>
        <v>5000</v>
      </c>
      <c r="U25" s="26">
        <f>SUM(U18:U24)</f>
        <v>0</v>
      </c>
      <c r="V25" s="26">
        <f>T25+U25</f>
        <v>5000</v>
      </c>
      <c r="X25" s="26">
        <f>D25+H25+L25+P25+T25</f>
        <v>714868</v>
      </c>
      <c r="Y25" s="26">
        <f>E25+I25+M25+Q25+U25</f>
        <v>-714868</v>
      </c>
      <c r="Z25" s="26">
        <f>F25+J25+N25+R25+V25</f>
        <v>0</v>
      </c>
    </row>
    <row r="26" spans="2:26" x14ac:dyDescent="0.25">
      <c r="H26" s="1"/>
      <c r="I26" s="1"/>
      <c r="J26" s="1"/>
      <c r="L26" s="1"/>
      <c r="M26" s="1"/>
      <c r="N26" s="1"/>
      <c r="P26" s="1"/>
      <c r="Q26" s="1"/>
      <c r="R26" s="1"/>
    </row>
    <row r="27" spans="2:26" x14ac:dyDescent="0.25">
      <c r="B27" s="5" t="s">
        <v>8</v>
      </c>
      <c r="C27" s="5"/>
      <c r="D27" t="s">
        <v>306</v>
      </c>
      <c r="E27" t="s">
        <v>354</v>
      </c>
      <c r="H27" s="1"/>
      <c r="I27" s="1"/>
      <c r="J27" s="1"/>
      <c r="L27" s="1"/>
      <c r="M27" s="1"/>
      <c r="N27" s="1"/>
      <c r="P27" s="1"/>
      <c r="Q27" s="1"/>
    </row>
    <row r="28" spans="2:26" x14ac:dyDescent="0.25">
      <c r="B28" s="2" t="s">
        <v>7</v>
      </c>
      <c r="C28" s="2"/>
      <c r="D28" s="1"/>
      <c r="E28" s="1"/>
      <c r="F28" s="1"/>
      <c r="H28" s="1"/>
      <c r="I28" s="1"/>
      <c r="J28" s="1"/>
      <c r="T28" s="9">
        <v>0</v>
      </c>
      <c r="U28" s="9">
        <v>0</v>
      </c>
      <c r="V28" s="8">
        <f>T28+U28</f>
        <v>0</v>
      </c>
      <c r="X28" s="8">
        <f>D28+H28+L28+P28+T28</f>
        <v>0</v>
      </c>
      <c r="Y28" s="8">
        <f>E28+I28+M28+Q28+U28</f>
        <v>0</v>
      </c>
      <c r="Z28" s="8">
        <f>X28+Y28</f>
        <v>0</v>
      </c>
    </row>
    <row r="29" spans="2:26" x14ac:dyDescent="0.25">
      <c r="B29" s="2" t="s">
        <v>52</v>
      </c>
      <c r="C29" s="2"/>
      <c r="D29" s="1"/>
      <c r="E29" s="1"/>
      <c r="F29" s="1"/>
      <c r="H29" s="1"/>
      <c r="I29" s="1"/>
      <c r="J29" s="1"/>
      <c r="L29" s="1"/>
      <c r="M29" s="1"/>
      <c r="N29" s="1"/>
      <c r="Q29" s="1"/>
      <c r="R29" s="1"/>
      <c r="T29" s="9">
        <v>-2974</v>
      </c>
      <c r="U29" s="9">
        <v>0</v>
      </c>
      <c r="V29" s="8">
        <f>T29+U29</f>
        <v>-2974</v>
      </c>
      <c r="X29" s="8">
        <f>D29+H29+L29+P29+T29</f>
        <v>-2974</v>
      </c>
      <c r="Y29" s="8">
        <f>E29+I29+M29+Q29+U29</f>
        <v>0</v>
      </c>
      <c r="Z29" s="8">
        <f>X29+Y29</f>
        <v>-2974</v>
      </c>
    </row>
    <row r="30" spans="2:26" x14ac:dyDescent="0.25">
      <c r="B30" s="2" t="s">
        <v>321</v>
      </c>
      <c r="C30" s="6" t="s">
        <v>17</v>
      </c>
      <c r="H30" s="1"/>
      <c r="I30" s="1"/>
      <c r="J30" s="1"/>
      <c r="L30" s="9">
        <v>-60000</v>
      </c>
      <c r="M30" s="9">
        <v>0</v>
      </c>
      <c r="N30" s="8">
        <f>L30+M30</f>
        <v>-60000</v>
      </c>
      <c r="P30" s="9">
        <f>-479603.13-L30</f>
        <v>-419603.13</v>
      </c>
      <c r="Q30" s="9">
        <v>0</v>
      </c>
      <c r="R30" s="8">
        <f>P30+Q30</f>
        <v>-419603.13</v>
      </c>
      <c r="X30" s="8">
        <f t="shared" ref="X30:X40" si="7">D30+H30+L30+P30+T30</f>
        <v>-479603.13</v>
      </c>
      <c r="Y30" s="8">
        <f t="shared" ref="Y30:Y40" si="8">E30+I30+M30+Q30+U30</f>
        <v>0</v>
      </c>
      <c r="Z30" s="8">
        <f t="shared" ref="Z30:Z40" si="9">X30+Y30</f>
        <v>-479603.13</v>
      </c>
    </row>
    <row r="31" spans="2:26" x14ac:dyDescent="0.25">
      <c r="B31" s="2" t="s">
        <v>306</v>
      </c>
      <c r="C31" s="6" t="s">
        <v>354</v>
      </c>
      <c r="H31" s="9">
        <v>0</v>
      </c>
      <c r="I31" s="9">
        <v>0</v>
      </c>
      <c r="J31" s="8">
        <f>H31+I31</f>
        <v>0</v>
      </c>
      <c r="L31" s="1"/>
      <c r="M31" s="1"/>
      <c r="N31" s="1"/>
      <c r="X31" s="8">
        <f t="shared" si="7"/>
        <v>0</v>
      </c>
      <c r="Y31" s="8">
        <f t="shared" si="8"/>
        <v>0</v>
      </c>
      <c r="Z31" s="8">
        <f t="shared" si="9"/>
        <v>0</v>
      </c>
    </row>
    <row r="32" spans="2:26" x14ac:dyDescent="0.25">
      <c r="B32" s="2" t="s">
        <v>591</v>
      </c>
      <c r="C32" s="6" t="s">
        <v>365</v>
      </c>
      <c r="H32" s="9">
        <v>-656.82</v>
      </c>
      <c r="I32" s="9">
        <v>0</v>
      </c>
      <c r="J32" s="8">
        <f>H32+I32</f>
        <v>-656.82</v>
      </c>
      <c r="L32" s="1"/>
      <c r="M32" s="1"/>
      <c r="N32" s="1"/>
      <c r="P32" s="9">
        <v>-3435.96</v>
      </c>
      <c r="Q32" s="9">
        <v>0</v>
      </c>
      <c r="R32" s="8">
        <f>P32+Q32</f>
        <v>-3435.96</v>
      </c>
      <c r="X32" s="8">
        <f t="shared" si="7"/>
        <v>-4092.78</v>
      </c>
      <c r="Y32" s="8">
        <f t="shared" si="8"/>
        <v>0</v>
      </c>
      <c r="Z32" s="8">
        <f t="shared" si="9"/>
        <v>-4092.78</v>
      </c>
    </row>
    <row r="33" spans="1:26" x14ac:dyDescent="0.25">
      <c r="B33" s="2" t="s">
        <v>589</v>
      </c>
      <c r="C33" s="6" t="s">
        <v>367</v>
      </c>
      <c r="L33" s="1"/>
      <c r="M33" s="1"/>
      <c r="N33" s="1"/>
      <c r="P33" s="9">
        <v>-82312.039999999994</v>
      </c>
      <c r="Q33" s="9">
        <v>0</v>
      </c>
      <c r="R33" s="8">
        <f>P33+Q33</f>
        <v>-82312.039999999994</v>
      </c>
      <c r="X33" s="8">
        <f t="shared" si="7"/>
        <v>-82312.039999999994</v>
      </c>
      <c r="Y33" s="8">
        <f t="shared" si="8"/>
        <v>0</v>
      </c>
      <c r="Z33" s="8">
        <f t="shared" si="9"/>
        <v>-82312.039999999994</v>
      </c>
    </row>
    <row r="34" spans="1:26" x14ac:dyDescent="0.25">
      <c r="B34" s="2" t="s">
        <v>327</v>
      </c>
      <c r="C34" s="6" t="s">
        <v>370</v>
      </c>
      <c r="H34" s="9">
        <v>-884.79</v>
      </c>
      <c r="I34" s="9">
        <v>0</v>
      </c>
      <c r="J34" s="8">
        <f>H34+I34</f>
        <v>-884.79</v>
      </c>
      <c r="L34" s="1"/>
      <c r="M34" s="1"/>
      <c r="N34" s="1"/>
      <c r="X34" s="8">
        <f t="shared" si="7"/>
        <v>-884.79</v>
      </c>
      <c r="Y34" s="8">
        <f t="shared" si="8"/>
        <v>0</v>
      </c>
      <c r="Z34" s="8">
        <f t="shared" si="9"/>
        <v>-884.79</v>
      </c>
    </row>
    <row r="35" spans="1:26" x14ac:dyDescent="0.25">
      <c r="A35" s="2"/>
      <c r="B35" s="2" t="s">
        <v>587</v>
      </c>
      <c r="C35" s="6" t="s">
        <v>372</v>
      </c>
      <c r="L35" s="1"/>
      <c r="M35" s="1"/>
      <c r="N35" s="1"/>
      <c r="P35" s="9">
        <v>-15350</v>
      </c>
      <c r="Q35" s="9">
        <v>0</v>
      </c>
      <c r="R35" s="8">
        <f>P35+Q35</f>
        <v>-15350</v>
      </c>
      <c r="X35" s="8">
        <f t="shared" si="7"/>
        <v>-15350</v>
      </c>
      <c r="Y35" s="8">
        <f t="shared" si="8"/>
        <v>0</v>
      </c>
      <c r="Z35" s="8">
        <f t="shared" si="9"/>
        <v>-15350</v>
      </c>
    </row>
    <row r="36" spans="1:26" x14ac:dyDescent="0.25">
      <c r="B36" s="2" t="s">
        <v>586</v>
      </c>
      <c r="C36" s="6" t="s">
        <v>377</v>
      </c>
      <c r="D36" s="9">
        <v>-49286.64</v>
      </c>
      <c r="E36" s="9">
        <v>0</v>
      </c>
      <c r="F36" s="8">
        <f>D36+E36</f>
        <v>-49286.64</v>
      </c>
      <c r="L36" s="1"/>
      <c r="M36" s="1"/>
      <c r="N36" s="1"/>
      <c r="X36" s="8">
        <f t="shared" si="7"/>
        <v>-49286.64</v>
      </c>
      <c r="Y36" s="8">
        <f t="shared" si="8"/>
        <v>0</v>
      </c>
      <c r="Z36" s="8">
        <f t="shared" si="9"/>
        <v>-49286.64</v>
      </c>
    </row>
    <row r="37" spans="1:26" x14ac:dyDescent="0.25">
      <c r="B37" s="2" t="s">
        <v>582</v>
      </c>
      <c r="C37" s="6" t="s">
        <v>378</v>
      </c>
      <c r="H37" s="9">
        <v>-18479.2</v>
      </c>
      <c r="I37" s="9">
        <v>0</v>
      </c>
      <c r="J37" s="8">
        <f>H37+I37</f>
        <v>-18479.2</v>
      </c>
      <c r="L37" s="1"/>
      <c r="M37" s="1"/>
      <c r="N37" s="1"/>
      <c r="X37" s="8">
        <f t="shared" si="7"/>
        <v>-18479.2</v>
      </c>
      <c r="Y37" s="8">
        <f t="shared" si="8"/>
        <v>0</v>
      </c>
      <c r="Z37" s="8">
        <f t="shared" si="9"/>
        <v>-18479.2</v>
      </c>
    </row>
    <row r="38" spans="1:26" x14ac:dyDescent="0.25">
      <c r="B38" s="2" t="s">
        <v>385</v>
      </c>
      <c r="C38" s="6" t="s">
        <v>379</v>
      </c>
      <c r="H38" s="9">
        <v>-12052</v>
      </c>
      <c r="I38" s="9">
        <v>0</v>
      </c>
      <c r="J38" s="8">
        <f>H38+I38</f>
        <v>-12052</v>
      </c>
      <c r="X38" s="8">
        <f t="shared" si="7"/>
        <v>-12052</v>
      </c>
      <c r="Y38" s="8">
        <f t="shared" si="8"/>
        <v>0</v>
      </c>
      <c r="Z38" s="8">
        <f t="shared" si="9"/>
        <v>-12052</v>
      </c>
    </row>
    <row r="39" spans="1:26" x14ac:dyDescent="0.25">
      <c r="B39" s="2" t="s">
        <v>380</v>
      </c>
      <c r="C39" s="6" t="s">
        <v>381</v>
      </c>
      <c r="H39" s="1"/>
      <c r="I39" s="1"/>
      <c r="J39" s="1"/>
      <c r="L39" s="9">
        <v>0</v>
      </c>
      <c r="M39" s="9">
        <v>0</v>
      </c>
      <c r="N39" s="8">
        <f>L39+M39</f>
        <v>0</v>
      </c>
      <c r="P39" s="9">
        <v>0</v>
      </c>
      <c r="Q39" s="9">
        <v>0</v>
      </c>
      <c r="R39" s="8">
        <f>P39+Q39</f>
        <v>0</v>
      </c>
      <c r="X39" s="8">
        <f t="shared" si="7"/>
        <v>0</v>
      </c>
      <c r="Y39" s="8">
        <f t="shared" si="8"/>
        <v>0</v>
      </c>
      <c r="Z39" s="8">
        <f t="shared" si="9"/>
        <v>0</v>
      </c>
    </row>
    <row r="40" spans="1:26" ht="15.75" thickBot="1" x14ac:dyDescent="0.3">
      <c r="B40" s="2" t="s">
        <v>382</v>
      </c>
      <c r="C40" s="6" t="s">
        <v>383</v>
      </c>
      <c r="L40" s="14">
        <v>-1094.99</v>
      </c>
      <c r="M40" s="14">
        <v>0</v>
      </c>
      <c r="N40" s="15">
        <f>L40+M40</f>
        <v>-1094.99</v>
      </c>
      <c r="P40" s="14">
        <f>-23561.13+4596.53</f>
        <v>-18964.600000000002</v>
      </c>
      <c r="Q40" s="14">
        <v>0</v>
      </c>
      <c r="R40" s="15">
        <f>P40+Q40</f>
        <v>-18964.600000000002</v>
      </c>
      <c r="X40" s="15">
        <f t="shared" si="7"/>
        <v>-20059.590000000004</v>
      </c>
      <c r="Y40" s="15">
        <f t="shared" si="8"/>
        <v>0</v>
      </c>
      <c r="Z40" s="15">
        <f t="shared" si="9"/>
        <v>-20059.590000000004</v>
      </c>
    </row>
    <row r="41" spans="1:26" x14ac:dyDescent="0.25">
      <c r="B41" s="2" t="s">
        <v>31</v>
      </c>
      <c r="C41" s="2"/>
      <c r="D41" s="26">
        <f>SUM(D28:D40)</f>
        <v>-49286.64</v>
      </c>
      <c r="E41" s="26">
        <f>SUM(E28:E40)</f>
        <v>0</v>
      </c>
      <c r="F41" s="26">
        <f>D41+E41</f>
        <v>-49286.64</v>
      </c>
      <c r="H41" s="26">
        <f>SUM(H28:H40)</f>
        <v>-32072.81</v>
      </c>
      <c r="I41" s="26">
        <f>SUM(I28:I40)</f>
        <v>0</v>
      </c>
      <c r="J41" s="26">
        <f>H41+I41</f>
        <v>-32072.81</v>
      </c>
      <c r="L41" s="26">
        <f>SUM(L28:L40)</f>
        <v>-61094.99</v>
      </c>
      <c r="M41" s="26">
        <f>SUM(M28:M40)</f>
        <v>0</v>
      </c>
      <c r="N41" s="26">
        <f>L41+M41</f>
        <v>-61094.99</v>
      </c>
      <c r="P41" s="26">
        <f>SUM(P28:P40)</f>
        <v>-539665.73</v>
      </c>
      <c r="Q41" s="26">
        <f>SUM(Q28:Q40)</f>
        <v>0</v>
      </c>
      <c r="R41" s="26">
        <f>P41+Q41</f>
        <v>-539665.73</v>
      </c>
      <c r="S41" s="1"/>
      <c r="T41" s="26">
        <f>SUM(T28:T40)</f>
        <v>-2974</v>
      </c>
      <c r="U41" s="26">
        <f>SUM(U28:U40)</f>
        <v>0</v>
      </c>
      <c r="V41" s="26">
        <f>T41+U41</f>
        <v>-2974</v>
      </c>
      <c r="X41" s="26">
        <f>SUM(X28:X40)</f>
        <v>-685094.17</v>
      </c>
      <c r="Y41" s="26">
        <f>SUM(Y28:Y40)</f>
        <v>0</v>
      </c>
      <c r="Z41" s="26">
        <f>X41+Y41</f>
        <v>-685094.17</v>
      </c>
    </row>
    <row r="42" spans="1:26" x14ac:dyDescent="0.25">
      <c r="D42" s="1"/>
      <c r="E42" s="1"/>
      <c r="F42" s="1"/>
      <c r="H42" s="1"/>
      <c r="I42" s="1"/>
      <c r="J42" s="1"/>
      <c r="L42" s="1"/>
      <c r="M42" s="1"/>
      <c r="N42" s="1"/>
      <c r="P42" s="1"/>
      <c r="Q42" s="1"/>
      <c r="R42" s="1"/>
      <c r="U42" s="1"/>
      <c r="V42" s="1"/>
      <c r="X42" s="1"/>
    </row>
    <row r="43" spans="1:26" x14ac:dyDescent="0.25">
      <c r="B43" s="5" t="s">
        <v>10</v>
      </c>
      <c r="C43" s="5"/>
      <c r="D43" s="1"/>
      <c r="E43" s="1"/>
      <c r="F43" s="1"/>
      <c r="L43" s="1"/>
      <c r="M43" s="1"/>
    </row>
    <row r="44" spans="1:26" x14ac:dyDescent="0.25">
      <c r="B44" s="2" t="s">
        <v>52</v>
      </c>
      <c r="C44" s="2"/>
      <c r="P44" s="9">
        <v>0</v>
      </c>
      <c r="Q44" s="8">
        <f>-T44</f>
        <v>2026</v>
      </c>
      <c r="R44" s="8">
        <f>P44+Q44</f>
        <v>2026</v>
      </c>
      <c r="T44" s="9">
        <v>-2026</v>
      </c>
      <c r="U44" s="8">
        <v>0</v>
      </c>
      <c r="V44" s="8">
        <f>T44+U44</f>
        <v>-2026</v>
      </c>
      <c r="X44" s="8">
        <f t="shared" ref="X44" si="10">D44+H44+L44+P44+T44</f>
        <v>-2026</v>
      </c>
      <c r="Y44" s="8">
        <f t="shared" ref="Y44" si="11">E44+I44+M44+Q44+U44</f>
        <v>2026</v>
      </c>
      <c r="Z44" s="8">
        <f>X44+Y44</f>
        <v>0</v>
      </c>
    </row>
    <row r="45" spans="1:26" x14ac:dyDescent="0.25">
      <c r="B45" s="2" t="s">
        <v>7</v>
      </c>
      <c r="C45" s="2"/>
      <c r="T45" s="9">
        <v>0</v>
      </c>
      <c r="U45" s="8">
        <f>-T45</f>
        <v>0</v>
      </c>
      <c r="V45" s="8">
        <f>T45+U45</f>
        <v>0</v>
      </c>
      <c r="X45" s="8">
        <f t="shared" ref="X45" si="12">D45+H45+L45+P45+T45</f>
        <v>0</v>
      </c>
      <c r="Y45" s="8">
        <f t="shared" ref="Y45" si="13">E45+I45+M45+Q45+U45</f>
        <v>0</v>
      </c>
      <c r="Z45" s="8">
        <f>X45+Y45</f>
        <v>0</v>
      </c>
    </row>
    <row r="46" spans="1:26" x14ac:dyDescent="0.25">
      <c r="B46" s="2" t="s">
        <v>321</v>
      </c>
      <c r="C46" s="6" t="s">
        <v>17</v>
      </c>
      <c r="P46" s="9">
        <v>0.01</v>
      </c>
      <c r="Q46" s="8">
        <f>-P46</f>
        <v>-0.01</v>
      </c>
      <c r="R46" s="8">
        <f>P46+Q46</f>
        <v>0</v>
      </c>
      <c r="X46" s="8">
        <f t="shared" ref="X46:Y47" si="14">D46+H46+L46+P46+T46</f>
        <v>0.01</v>
      </c>
      <c r="Y46" s="8">
        <f t="shared" si="14"/>
        <v>-0.01</v>
      </c>
      <c r="Z46" s="8">
        <f>X46+Y46</f>
        <v>0</v>
      </c>
    </row>
    <row r="47" spans="1:26" ht="15.75" thickBot="1" x14ac:dyDescent="0.3">
      <c r="B47" s="2" t="s">
        <v>586</v>
      </c>
      <c r="C47" s="6" t="s">
        <v>377</v>
      </c>
      <c r="D47" s="9">
        <v>-1381.36</v>
      </c>
      <c r="E47" s="8">
        <f>-D47</f>
        <v>1381.36</v>
      </c>
      <c r="F47" s="8">
        <f>D47+E47</f>
        <v>0</v>
      </c>
      <c r="X47" s="8">
        <f t="shared" si="14"/>
        <v>-1381.36</v>
      </c>
      <c r="Y47" s="8">
        <f t="shared" si="14"/>
        <v>1381.36</v>
      </c>
      <c r="Z47" s="8">
        <f>X47+Y47</f>
        <v>0</v>
      </c>
    </row>
    <row r="48" spans="1:26" x14ac:dyDescent="0.25">
      <c r="B48" s="2" t="s">
        <v>39</v>
      </c>
      <c r="C48" s="2"/>
      <c r="D48" s="26">
        <f>SUM(D44:D47)</f>
        <v>-1381.36</v>
      </c>
      <c r="E48" s="26">
        <f>SUM(E44:E47)</f>
        <v>1381.36</v>
      </c>
      <c r="F48" s="26">
        <f>D48+E48</f>
        <v>0</v>
      </c>
      <c r="H48" s="26">
        <f>SUM(H44:H47)</f>
        <v>0</v>
      </c>
      <c r="I48" s="26">
        <f>SUM(I44:I47)</f>
        <v>0</v>
      </c>
      <c r="J48" s="26">
        <f>H48+I48</f>
        <v>0</v>
      </c>
      <c r="L48" s="26">
        <f>SUM(L44:L47)</f>
        <v>0</v>
      </c>
      <c r="M48" s="26">
        <f>SUM(M44:M47)</f>
        <v>0</v>
      </c>
      <c r="N48" s="26">
        <f>L48+M48</f>
        <v>0</v>
      </c>
      <c r="P48" s="26">
        <f>SUM(P44:P47)</f>
        <v>0.01</v>
      </c>
      <c r="Q48" s="26">
        <f>SUM(Q44:Q47)</f>
        <v>2025.99</v>
      </c>
      <c r="R48" s="26">
        <f>P48+Q48</f>
        <v>2026</v>
      </c>
      <c r="S48" s="1"/>
      <c r="T48" s="26">
        <f>SUM(T44:T47)</f>
        <v>-2026</v>
      </c>
      <c r="U48" s="26">
        <f>SUM(U44:U47)</f>
        <v>0</v>
      </c>
      <c r="V48" s="26">
        <f>T48+U48</f>
        <v>-2026</v>
      </c>
      <c r="X48" s="26">
        <f>SUM(X44:X47)</f>
        <v>-3407.35</v>
      </c>
      <c r="Y48" s="26">
        <f>SUM(Y44:Y47)</f>
        <v>3407.35</v>
      </c>
      <c r="Z48" s="26">
        <f>X48+Y48</f>
        <v>0</v>
      </c>
    </row>
    <row r="49" spans="1:26" x14ac:dyDescent="0.25">
      <c r="L49" s="1"/>
      <c r="M49" s="1"/>
      <c r="N49" s="1"/>
      <c r="P49" s="1"/>
      <c r="Q49" s="1"/>
      <c r="R49" s="1"/>
    </row>
    <row r="50" spans="1:26" x14ac:dyDescent="0.25">
      <c r="B50" s="2" t="s">
        <v>335</v>
      </c>
      <c r="C50" s="2"/>
      <c r="D50" s="8">
        <f>D7+D15+D25+D41+D48</f>
        <v>0</v>
      </c>
      <c r="E50" s="8">
        <f>E7+E15+E25+E41+E48</f>
        <v>504768.70999999996</v>
      </c>
      <c r="F50" s="8">
        <f>D50+E50</f>
        <v>504768.70999999996</v>
      </c>
      <c r="H50" s="8">
        <f>H7+H15+H25+H41+H48</f>
        <v>141396.29999999999</v>
      </c>
      <c r="I50" s="8">
        <f>I7+I15+I25+I41+I48</f>
        <v>40162.299999999988</v>
      </c>
      <c r="J50" s="8">
        <f>H50+I50</f>
        <v>181558.59999999998</v>
      </c>
      <c r="L50" s="8">
        <f>L7+L15+L25+L41+L48</f>
        <v>35905.01</v>
      </c>
      <c r="M50" s="8">
        <f>M7+M15+M25+M41+M48</f>
        <v>38207.429999999993</v>
      </c>
      <c r="N50" s="8">
        <f>L50+M50</f>
        <v>74112.44</v>
      </c>
      <c r="P50" s="8">
        <f>P7+P15+P25+P41+P48</f>
        <v>278579.43000000005</v>
      </c>
      <c r="Q50" s="8">
        <f>Q7+Q15+Q25+Q41+Q48</f>
        <v>331598.71000000008</v>
      </c>
      <c r="R50" s="8">
        <f>P50+Q50</f>
        <v>610178.14000000013</v>
      </c>
      <c r="T50" s="8">
        <f>T7+T15+T25+T41+T48</f>
        <v>0</v>
      </c>
      <c r="U50" s="8">
        <f>U7+U15+U25+U41+U48</f>
        <v>0</v>
      </c>
      <c r="V50" s="8">
        <f>T50+U50</f>
        <v>0</v>
      </c>
      <c r="X50" s="8">
        <f>D50+H50+L50+P50+T50</f>
        <v>455880.74000000005</v>
      </c>
      <c r="Y50" s="8">
        <f>E50+I50+M50+Q50+U50</f>
        <v>914737.15</v>
      </c>
      <c r="Z50" s="8">
        <f>X50+Y50</f>
        <v>1370617.8900000001</v>
      </c>
    </row>
    <row r="52" spans="1:26" x14ac:dyDescent="0.25">
      <c r="B52" s="5" t="s">
        <v>347</v>
      </c>
      <c r="C52" s="5"/>
      <c r="L52" s="1"/>
      <c r="M52" s="1"/>
      <c r="N52" s="1"/>
      <c r="P52" s="1"/>
    </row>
    <row r="53" spans="1:26" x14ac:dyDescent="0.25">
      <c r="B53" s="2" t="s">
        <v>244</v>
      </c>
      <c r="C53" s="2"/>
      <c r="D53" s="9">
        <v>0</v>
      </c>
      <c r="E53" s="9">
        <v>0</v>
      </c>
      <c r="F53" s="8">
        <f>D53+E53</f>
        <v>0</v>
      </c>
      <c r="H53" s="14">
        <v>0</v>
      </c>
      <c r="I53" s="14">
        <v>0</v>
      </c>
      <c r="J53" s="8">
        <f>H53+I53</f>
        <v>0</v>
      </c>
      <c r="L53" s="14">
        <v>0</v>
      </c>
      <c r="M53" s="14">
        <v>0</v>
      </c>
      <c r="N53" s="8">
        <f>L53+M53</f>
        <v>0</v>
      </c>
      <c r="P53" s="14">
        <v>0</v>
      </c>
      <c r="Q53" s="14">
        <v>0</v>
      </c>
      <c r="R53" s="8">
        <f>P53+Q53</f>
        <v>0</v>
      </c>
      <c r="T53" s="14">
        <v>0</v>
      </c>
      <c r="U53" s="14">
        <v>0</v>
      </c>
      <c r="V53" s="8">
        <f>T53+U53</f>
        <v>0</v>
      </c>
      <c r="X53" s="8">
        <f t="shared" ref="X53:Y56" si="15">D53+H53+L53+P53+T53</f>
        <v>0</v>
      </c>
      <c r="Y53" s="8">
        <f t="shared" si="15"/>
        <v>0</v>
      </c>
      <c r="Z53" s="8">
        <f>X53+Y53</f>
        <v>0</v>
      </c>
    </row>
    <row r="54" spans="1:26" x14ac:dyDescent="0.25">
      <c r="B54" s="2" t="s">
        <v>343</v>
      </c>
      <c r="C54" s="6" t="s">
        <v>17</v>
      </c>
      <c r="L54" s="9">
        <v>29963</v>
      </c>
      <c r="M54" s="9">
        <f>-L54</f>
        <v>-29963</v>
      </c>
      <c r="N54" s="8">
        <f>L54+M54</f>
        <v>0</v>
      </c>
      <c r="X54" s="8">
        <f t="shared" si="15"/>
        <v>29963</v>
      </c>
      <c r="Y54" s="8">
        <f t="shared" si="15"/>
        <v>-29963</v>
      </c>
      <c r="Z54" s="8">
        <f>X54+Y54</f>
        <v>0</v>
      </c>
    </row>
    <row r="55" spans="1:26" ht="15.75" thickBot="1" x14ac:dyDescent="0.3">
      <c r="B55" s="2" t="s">
        <v>409</v>
      </c>
      <c r="C55" s="6" t="s">
        <v>413</v>
      </c>
      <c r="P55" s="23">
        <v>266857.38</v>
      </c>
      <c r="Q55" s="23">
        <f>-P55</f>
        <v>-266857.38</v>
      </c>
      <c r="R55" s="8">
        <f>P55+Q55</f>
        <v>0</v>
      </c>
      <c r="X55" s="8">
        <f t="shared" si="15"/>
        <v>266857.38</v>
      </c>
      <c r="Y55" s="8">
        <f t="shared" si="15"/>
        <v>-266857.38</v>
      </c>
      <c r="Z55" s="8">
        <f>X55+Y55</f>
        <v>0</v>
      </c>
    </row>
    <row r="56" spans="1:26" x14ac:dyDescent="0.25">
      <c r="B56" s="2" t="s">
        <v>336</v>
      </c>
      <c r="C56" s="2"/>
      <c r="D56" s="26">
        <f>SUM(D53:D55)</f>
        <v>0</v>
      </c>
      <c r="E56" s="26">
        <f>SUM(E53:E55)</f>
        <v>0</v>
      </c>
      <c r="F56" s="26">
        <f>D56+E56</f>
        <v>0</v>
      </c>
      <c r="H56" s="26">
        <f>SUM(H53:H55)</f>
        <v>0</v>
      </c>
      <c r="I56" s="26">
        <f>SUM(I53:I55)</f>
        <v>0</v>
      </c>
      <c r="J56" s="26">
        <f>H56+I56</f>
        <v>0</v>
      </c>
      <c r="L56" s="26">
        <f>SUM(L53:L55)</f>
        <v>29963</v>
      </c>
      <c r="M56" s="26">
        <f>SUM(M53:M55)</f>
        <v>-29963</v>
      </c>
      <c r="N56" s="26">
        <f>L56+M56</f>
        <v>0</v>
      </c>
      <c r="P56" s="26">
        <f>SUM(P53:P55)</f>
        <v>266857.38</v>
      </c>
      <c r="Q56" s="26">
        <f>SUM(Q53:Q55)</f>
        <v>-266857.38</v>
      </c>
      <c r="R56" s="26">
        <f>P56+Q56</f>
        <v>0</v>
      </c>
      <c r="S56" s="1"/>
      <c r="T56" s="26">
        <f>SUM(T53:T55)</f>
        <v>0</v>
      </c>
      <c r="U56" s="26">
        <f>SUM(U53:U55)</f>
        <v>0</v>
      </c>
      <c r="V56" s="26">
        <f>T56+U56</f>
        <v>0</v>
      </c>
      <c r="X56" s="26">
        <f t="shared" si="15"/>
        <v>296820.38</v>
      </c>
      <c r="Y56" s="26">
        <f t="shared" si="15"/>
        <v>-296820.38</v>
      </c>
      <c r="Z56" s="26">
        <f>X56+Y56</f>
        <v>0</v>
      </c>
    </row>
    <row r="57" spans="1:26" x14ac:dyDescent="0.25">
      <c r="B57" s="2"/>
      <c r="C57" s="2"/>
    </row>
    <row r="58" spans="1:26" ht="15.75" thickBot="1" x14ac:dyDescent="0.3">
      <c r="B58" s="2" t="s">
        <v>337</v>
      </c>
      <c r="C58" s="2"/>
      <c r="D58" s="17">
        <f>ROUND(D50+D56,2)</f>
        <v>0</v>
      </c>
      <c r="E58" s="17">
        <f>ROUND(E50+E56,2)</f>
        <v>504768.71</v>
      </c>
      <c r="F58" s="17">
        <f>D58+E58</f>
        <v>504768.71</v>
      </c>
      <c r="H58" s="17">
        <f>ROUND(H50+H56,2)</f>
        <v>141396.29999999999</v>
      </c>
      <c r="I58" s="17">
        <f>ROUND(I50+I56,2)</f>
        <v>40162.300000000003</v>
      </c>
      <c r="J58" s="17">
        <f>H58+I58</f>
        <v>181558.59999999998</v>
      </c>
      <c r="L58" s="17">
        <f>ROUND(L50+L56,2)</f>
        <v>65868.009999999995</v>
      </c>
      <c r="M58" s="17">
        <f>ROUND(M50+M56,2)</f>
        <v>8244.43</v>
      </c>
      <c r="N58" s="17">
        <f>L58+M58</f>
        <v>74112.44</v>
      </c>
      <c r="P58" s="17">
        <f>ROUND(P50+P56,2)</f>
        <v>545436.81000000006</v>
      </c>
      <c r="Q58" s="17">
        <f>ROUND(Q50+Q56,2)</f>
        <v>64741.33</v>
      </c>
      <c r="R58" s="17">
        <f>P58+Q58</f>
        <v>610178.14</v>
      </c>
      <c r="T58" s="17">
        <f>ROUND(T50+T56,2)</f>
        <v>0</v>
      </c>
      <c r="U58" s="17">
        <f>ROUND(U50+U56,2)</f>
        <v>0</v>
      </c>
      <c r="V58" s="17">
        <f>T58+U58</f>
        <v>0</v>
      </c>
      <c r="X58" s="17">
        <f>D58+H58+L58+P58+T58</f>
        <v>752701.12000000011</v>
      </c>
      <c r="Y58" s="17">
        <f>E58+I58+M58+Q58+U58</f>
        <v>617916.77</v>
      </c>
      <c r="Z58" s="17">
        <f>X58+Y58</f>
        <v>1370617.8900000001</v>
      </c>
    </row>
    <row r="59" spans="1:26" ht="15.75" thickTop="1" x14ac:dyDescent="0.25">
      <c r="B59" s="2"/>
      <c r="C59" s="2"/>
    </row>
    <row r="60" spans="1:26" x14ac:dyDescent="0.25">
      <c r="B60" s="2"/>
      <c r="C60" s="2"/>
    </row>
    <row r="61" spans="1:26" x14ac:dyDescent="0.25">
      <c r="A61" s="35" t="s">
        <v>54</v>
      </c>
      <c r="B61" s="35"/>
      <c r="C61" s="19"/>
    </row>
    <row r="63" spans="1:26" x14ac:dyDescent="0.25">
      <c r="B63" s="5" t="s">
        <v>338</v>
      </c>
      <c r="C63" s="5"/>
      <c r="T63" s="1"/>
    </row>
    <row r="64" spans="1:26" x14ac:dyDescent="0.25">
      <c r="B64" s="2" t="s">
        <v>718</v>
      </c>
      <c r="C64" s="2"/>
      <c r="D64" s="9">
        <v>0</v>
      </c>
      <c r="E64" s="9">
        <f>670000/10</f>
        <v>67000</v>
      </c>
      <c r="F64" s="8">
        <f>D64+E64</f>
        <v>67000</v>
      </c>
      <c r="H64" s="9">
        <v>0</v>
      </c>
      <c r="I64" s="9">
        <f>670000/10</f>
        <v>67000</v>
      </c>
      <c r="J64" s="8">
        <f>H64+I64</f>
        <v>67000</v>
      </c>
      <c r="L64" s="9">
        <v>0</v>
      </c>
      <c r="M64" s="9">
        <f>670000/10</f>
        <v>67000</v>
      </c>
      <c r="N64" s="8">
        <f>L64+M64</f>
        <v>67000</v>
      </c>
      <c r="P64" s="9">
        <v>0</v>
      </c>
      <c r="Q64" s="9">
        <f>670000-E64-I64-M64</f>
        <v>469000</v>
      </c>
      <c r="R64" s="8">
        <f>P64+Q64</f>
        <v>469000</v>
      </c>
      <c r="T64" s="1"/>
      <c r="U64" s="1"/>
      <c r="V64" s="1"/>
      <c r="X64" s="8">
        <f t="shared" ref="X64:Z67" si="16">D64+H64+L64+P64+T64</f>
        <v>0</v>
      </c>
      <c r="Y64" s="8">
        <f t="shared" si="16"/>
        <v>670000</v>
      </c>
      <c r="Z64" s="8">
        <f t="shared" si="16"/>
        <v>670000</v>
      </c>
    </row>
    <row r="65" spans="2:26" x14ac:dyDescent="0.25">
      <c r="B65" s="2" t="s">
        <v>339</v>
      </c>
      <c r="C65" s="2"/>
      <c r="D65" s="9">
        <v>0</v>
      </c>
      <c r="E65" s="9">
        <f>67000*0.1</f>
        <v>6700</v>
      </c>
      <c r="F65" s="8">
        <f>D65+E65</f>
        <v>6700</v>
      </c>
      <c r="H65" s="9">
        <v>0</v>
      </c>
      <c r="I65" s="9">
        <f>67000*0.1</f>
        <v>6700</v>
      </c>
      <c r="J65" s="8">
        <f>H65+I65</f>
        <v>6700</v>
      </c>
      <c r="L65" s="9">
        <v>0</v>
      </c>
      <c r="M65" s="9">
        <f>67000*0.1</f>
        <v>6700</v>
      </c>
      <c r="N65" s="8">
        <f>L65+M65</f>
        <v>6700</v>
      </c>
      <c r="P65" s="9">
        <v>0</v>
      </c>
      <c r="Q65" s="9">
        <f>670000*0.1-E65-I65-M65</f>
        <v>46900</v>
      </c>
      <c r="R65" s="8">
        <f>P65+Q65</f>
        <v>46900</v>
      </c>
      <c r="X65" s="8">
        <f t="shared" si="16"/>
        <v>0</v>
      </c>
      <c r="Y65" s="8">
        <f t="shared" si="16"/>
        <v>67000</v>
      </c>
      <c r="Z65" s="8">
        <f t="shared" si="16"/>
        <v>67000</v>
      </c>
    </row>
    <row r="66" spans="2:26" ht="15.75" thickBot="1" x14ac:dyDescent="0.3">
      <c r="B66" s="2" t="s">
        <v>340</v>
      </c>
      <c r="C66" s="2"/>
      <c r="D66" s="14">
        <v>0</v>
      </c>
      <c r="E66" s="14">
        <f>1000/10</f>
        <v>100</v>
      </c>
      <c r="F66" s="15">
        <f>D66+E66</f>
        <v>100</v>
      </c>
      <c r="H66" s="14">
        <v>0</v>
      </c>
      <c r="I66" s="14">
        <f>1000/10</f>
        <v>100</v>
      </c>
      <c r="J66" s="15">
        <f>H66+I66</f>
        <v>100</v>
      </c>
      <c r="L66" s="14">
        <v>0</v>
      </c>
      <c r="M66" s="14">
        <f>1000/10</f>
        <v>100</v>
      </c>
      <c r="N66" s="15">
        <f>L66+M66</f>
        <v>100</v>
      </c>
      <c r="P66" s="14">
        <v>0</v>
      </c>
      <c r="Q66" s="14">
        <f>1000-E66-I66-M66</f>
        <v>700</v>
      </c>
      <c r="R66" s="15">
        <f>P66+Q66</f>
        <v>700</v>
      </c>
      <c r="X66" s="15">
        <f t="shared" si="16"/>
        <v>0</v>
      </c>
      <c r="Y66" s="15">
        <f t="shared" si="16"/>
        <v>1000</v>
      </c>
      <c r="Z66" s="15">
        <f t="shared" si="16"/>
        <v>1000</v>
      </c>
    </row>
    <row r="67" spans="2:26" x14ac:dyDescent="0.25">
      <c r="B67" s="2" t="s">
        <v>341</v>
      </c>
      <c r="C67" s="2"/>
      <c r="D67" s="26">
        <f>SUM(D64:D66)</f>
        <v>0</v>
      </c>
      <c r="E67" s="26">
        <f>SUM(E64:E66)</f>
        <v>73800</v>
      </c>
      <c r="F67" s="26">
        <f>D67+E67</f>
        <v>73800</v>
      </c>
      <c r="H67" s="26">
        <f>SUM(H64:H66)</f>
        <v>0</v>
      </c>
      <c r="I67" s="26">
        <f>SUM(I64:I66)</f>
        <v>73800</v>
      </c>
      <c r="J67" s="26">
        <f>H67+I67</f>
        <v>73800</v>
      </c>
      <c r="L67" s="26">
        <f>SUM(L64:L66)</f>
        <v>0</v>
      </c>
      <c r="M67" s="26">
        <f>SUM(M64:M66)</f>
        <v>73800</v>
      </c>
      <c r="N67" s="26">
        <f>L67+M67</f>
        <v>73800</v>
      </c>
      <c r="P67" s="26">
        <f>SUM(P64:P66)</f>
        <v>0</v>
      </c>
      <c r="Q67" s="26">
        <f>SUM(Q64:Q66)</f>
        <v>516600</v>
      </c>
      <c r="R67" s="26">
        <f>P67+Q67</f>
        <v>516600</v>
      </c>
      <c r="S67" s="1"/>
      <c r="T67" s="26">
        <f>SUM(T64:T66)</f>
        <v>0</v>
      </c>
      <c r="U67" s="26">
        <f>SUM(U64:U66)</f>
        <v>0</v>
      </c>
      <c r="V67" s="26">
        <f>T67+U67</f>
        <v>0</v>
      </c>
      <c r="X67" s="26">
        <f t="shared" si="16"/>
        <v>0</v>
      </c>
      <c r="Y67" s="26">
        <f t="shared" si="16"/>
        <v>738000</v>
      </c>
      <c r="Z67" s="26">
        <f t="shared" si="16"/>
        <v>738000</v>
      </c>
    </row>
    <row r="68" spans="2:26" x14ac:dyDescent="0.25">
      <c r="B68" s="2"/>
      <c r="C68" s="2"/>
    </row>
    <row r="69" spans="2:26" x14ac:dyDescent="0.25">
      <c r="B69" s="5" t="s">
        <v>342</v>
      </c>
      <c r="C69" s="5"/>
      <c r="T69" s="1"/>
    </row>
    <row r="70" spans="2:26" x14ac:dyDescent="0.25">
      <c r="B70" s="2" t="s">
        <v>86</v>
      </c>
      <c r="C70" s="2"/>
      <c r="H70" s="1"/>
      <c r="I70" s="1"/>
      <c r="J70" s="1"/>
      <c r="L70" s="1"/>
      <c r="M70" s="1"/>
      <c r="P70" s="8">
        <v>0</v>
      </c>
      <c r="Q70" s="8">
        <f>-T70</f>
        <v>-5000</v>
      </c>
      <c r="R70" s="8">
        <f>P70+Q70</f>
        <v>-5000</v>
      </c>
      <c r="T70" s="9">
        <f>2500+2500</f>
        <v>5000</v>
      </c>
      <c r="U70" s="9">
        <v>0</v>
      </c>
      <c r="V70" s="8">
        <f>T70+U70</f>
        <v>5000</v>
      </c>
      <c r="X70" s="8">
        <f t="shared" ref="X70:Z77" si="17">D70+H70+L70+P70+T70</f>
        <v>5000</v>
      </c>
      <c r="Y70" s="8">
        <f t="shared" si="17"/>
        <v>-5000</v>
      </c>
      <c r="Z70" s="8">
        <f t="shared" si="17"/>
        <v>0</v>
      </c>
    </row>
    <row r="71" spans="2:26" x14ac:dyDescent="0.25">
      <c r="B71" s="2" t="s">
        <v>343</v>
      </c>
      <c r="C71" s="6" t="s">
        <v>17</v>
      </c>
      <c r="L71" s="9">
        <v>100000</v>
      </c>
      <c r="M71" s="8">
        <f>-L71</f>
        <v>-100000</v>
      </c>
      <c r="N71" s="8">
        <f>L71+M71</f>
        <v>0</v>
      </c>
      <c r="P71" s="9">
        <f>481659.38-L71</f>
        <v>381659.38</v>
      </c>
      <c r="Q71" s="8">
        <f>-P71</f>
        <v>-381659.38</v>
      </c>
      <c r="R71" s="8">
        <f>P71+Q71</f>
        <v>0</v>
      </c>
      <c r="X71" s="8">
        <f t="shared" ref="X71" si="18">D71+H71+L71+P71+T71</f>
        <v>481659.38</v>
      </c>
      <c r="Y71" s="8">
        <f t="shared" ref="Y71" si="19">E71+I71+M71+Q71+U71</f>
        <v>-481659.38</v>
      </c>
      <c r="Z71" s="8">
        <f t="shared" ref="Z71" si="20">F71+J71+N71+R71+V71</f>
        <v>0</v>
      </c>
    </row>
    <row r="72" spans="2:26" x14ac:dyDescent="0.25">
      <c r="B72" s="2" t="s">
        <v>408</v>
      </c>
      <c r="C72" s="6" t="s">
        <v>411</v>
      </c>
      <c r="H72" s="9">
        <v>5627</v>
      </c>
      <c r="I72" s="8">
        <f>-H72</f>
        <v>-5627</v>
      </c>
      <c r="J72" s="8">
        <f>H72+I72</f>
        <v>0</v>
      </c>
      <c r="L72" s="1"/>
      <c r="M72" s="1"/>
      <c r="X72" s="8">
        <f t="shared" si="17"/>
        <v>5627</v>
      </c>
      <c r="Y72" s="8">
        <f t="shared" si="17"/>
        <v>-5627</v>
      </c>
      <c r="Z72" s="8">
        <f t="shared" si="17"/>
        <v>0</v>
      </c>
    </row>
    <row r="73" spans="2:26" x14ac:dyDescent="0.25">
      <c r="B73" s="2" t="s">
        <v>583</v>
      </c>
      <c r="C73" s="6" t="s">
        <v>412</v>
      </c>
      <c r="H73" s="1"/>
      <c r="I73" s="1"/>
      <c r="J73" s="1"/>
      <c r="L73" s="9">
        <v>3763</v>
      </c>
      <c r="M73" s="8">
        <f>-L73</f>
        <v>-3763</v>
      </c>
      <c r="N73" s="8">
        <f>L73+M73</f>
        <v>0</v>
      </c>
      <c r="P73" s="9">
        <f>100000-L73</f>
        <v>96237</v>
      </c>
      <c r="Q73" s="8">
        <f>-P73</f>
        <v>-96237</v>
      </c>
      <c r="R73" s="8">
        <f>P73+Q73</f>
        <v>0</v>
      </c>
      <c r="X73" s="8">
        <f t="shared" si="17"/>
        <v>100000</v>
      </c>
      <c r="Y73" s="8">
        <f t="shared" si="17"/>
        <v>-100000</v>
      </c>
      <c r="Z73" s="8">
        <f t="shared" si="17"/>
        <v>0</v>
      </c>
    </row>
    <row r="74" spans="2:26" x14ac:dyDescent="0.25">
      <c r="B74" s="2" t="s">
        <v>409</v>
      </c>
      <c r="C74" s="6" t="s">
        <v>413</v>
      </c>
      <c r="H74" s="1"/>
      <c r="I74" s="1"/>
      <c r="J74" s="1"/>
      <c r="L74" s="1"/>
      <c r="M74" s="1"/>
      <c r="P74" s="9">
        <v>300561</v>
      </c>
      <c r="Q74" s="8">
        <f>-P74</f>
        <v>-300561</v>
      </c>
      <c r="R74" s="8">
        <f>P74+Q74</f>
        <v>0</v>
      </c>
      <c r="X74" s="8">
        <f t="shared" si="17"/>
        <v>300561</v>
      </c>
      <c r="Y74" s="8">
        <f t="shared" si="17"/>
        <v>-300561</v>
      </c>
      <c r="Z74" s="8">
        <f t="shared" si="17"/>
        <v>0</v>
      </c>
    </row>
    <row r="75" spans="2:26" x14ac:dyDescent="0.25">
      <c r="B75" s="2" t="s">
        <v>410</v>
      </c>
      <c r="C75" s="6" t="s">
        <v>414</v>
      </c>
      <c r="H75" s="9">
        <v>45000</v>
      </c>
      <c r="I75" s="8">
        <f>-H75</f>
        <v>-45000</v>
      </c>
      <c r="J75" s="8">
        <f>H75+I75</f>
        <v>0</v>
      </c>
      <c r="L75" s="1"/>
      <c r="M75" s="1"/>
      <c r="X75" s="8">
        <f t="shared" ref="X75" si="21">D75+H75+L75+P75+T75</f>
        <v>45000</v>
      </c>
      <c r="Y75" s="8">
        <f t="shared" ref="Y75" si="22">E75+I75+M75+Q75+U75</f>
        <v>-45000</v>
      </c>
      <c r="Z75" s="8">
        <f t="shared" ref="Z75" si="23">F75+J75+N75+R75+V75</f>
        <v>0</v>
      </c>
    </row>
    <row r="76" spans="2:26" ht="15.75" thickBot="1" x14ac:dyDescent="0.3">
      <c r="B76" s="2" t="s">
        <v>584</v>
      </c>
      <c r="C76" s="6" t="s">
        <v>415</v>
      </c>
      <c r="D76" s="9">
        <v>48882</v>
      </c>
      <c r="E76" s="8">
        <f>-D76</f>
        <v>-48882</v>
      </c>
      <c r="F76" s="8">
        <f>D76+E76</f>
        <v>0</v>
      </c>
      <c r="H76" s="1"/>
      <c r="I76" s="1"/>
      <c r="J76" s="1"/>
      <c r="L76" s="1"/>
      <c r="M76" s="1"/>
      <c r="X76" s="8">
        <f t="shared" ref="X76" si="24">D76+H76+L76+P76+T76</f>
        <v>48882</v>
      </c>
      <c r="Y76" s="8">
        <f t="shared" ref="Y76" si="25">E76+I76+M76+Q76+U76</f>
        <v>-48882</v>
      </c>
      <c r="Z76" s="8">
        <f t="shared" ref="Z76" si="26">F76+J76+N76+R76+V76</f>
        <v>0</v>
      </c>
    </row>
    <row r="77" spans="2:26" x14ac:dyDescent="0.25">
      <c r="B77" s="2" t="s">
        <v>344</v>
      </c>
      <c r="C77" s="2"/>
      <c r="D77" s="26">
        <f>SUM(D70:D76)</f>
        <v>48882</v>
      </c>
      <c r="E77" s="26">
        <f>SUM(E70:E76)</f>
        <v>-48882</v>
      </c>
      <c r="F77" s="26">
        <f>D77+E77</f>
        <v>0</v>
      </c>
      <c r="H77" s="26">
        <f>SUM(H70:H76)</f>
        <v>50627</v>
      </c>
      <c r="I77" s="26">
        <f>SUM(I70:I76)</f>
        <v>-50627</v>
      </c>
      <c r="J77" s="26">
        <f>H77+I77</f>
        <v>0</v>
      </c>
      <c r="L77" s="26">
        <f>SUM(L70:L76)</f>
        <v>103763</v>
      </c>
      <c r="M77" s="26">
        <f>SUM(M70:M76)</f>
        <v>-103763</v>
      </c>
      <c r="N77" s="26">
        <f>L77+M77</f>
        <v>0</v>
      </c>
      <c r="P77" s="26">
        <f>SUM(P70:P76)</f>
        <v>778457.38</v>
      </c>
      <c r="Q77" s="26">
        <f>SUM(Q70:Q76)</f>
        <v>-783457.38</v>
      </c>
      <c r="R77" s="26">
        <f>P77+Q77</f>
        <v>-5000</v>
      </c>
      <c r="S77" s="1"/>
      <c r="T77" s="26">
        <f>SUM(T70:T76)</f>
        <v>5000</v>
      </c>
      <c r="U77" s="26">
        <f>SUM(U70:U76)</f>
        <v>0</v>
      </c>
      <c r="V77" s="26">
        <f>T77+U77</f>
        <v>5000</v>
      </c>
      <c r="X77" s="26">
        <f t="shared" si="17"/>
        <v>986729.38</v>
      </c>
      <c r="Y77" s="26">
        <f t="shared" si="17"/>
        <v>-986729.38</v>
      </c>
      <c r="Z77" s="26">
        <f t="shared" si="17"/>
        <v>0</v>
      </c>
    </row>
    <row r="78" spans="2:26" x14ac:dyDescent="0.25">
      <c r="B78" s="2"/>
      <c r="C78" s="2"/>
    </row>
    <row r="79" spans="2:26" x14ac:dyDescent="0.25">
      <c r="B79" s="2" t="s">
        <v>345</v>
      </c>
      <c r="C79" s="2"/>
      <c r="D79" s="8">
        <f>D67+D77</f>
        <v>48882</v>
      </c>
      <c r="E79" s="8">
        <f>E67+E77</f>
        <v>24918</v>
      </c>
      <c r="F79" s="8">
        <f>D79+E79</f>
        <v>73800</v>
      </c>
      <c r="H79" s="8">
        <f>H67+H77</f>
        <v>50627</v>
      </c>
      <c r="I79" s="8">
        <f>I67+I77</f>
        <v>23173</v>
      </c>
      <c r="J79" s="8">
        <f>H79+I79</f>
        <v>73800</v>
      </c>
      <c r="L79" s="8">
        <f>L67+L77</f>
        <v>103763</v>
      </c>
      <c r="M79" s="8">
        <f>M67+M77</f>
        <v>-29963</v>
      </c>
      <c r="N79" s="8">
        <f>L79+M79</f>
        <v>73800</v>
      </c>
      <c r="P79" s="8">
        <f>P67+P77</f>
        <v>778457.38</v>
      </c>
      <c r="Q79" s="8">
        <f>Q67+Q77</f>
        <v>-266857.38</v>
      </c>
      <c r="R79" s="8">
        <f>P79+Q79</f>
        <v>511600</v>
      </c>
      <c r="T79" s="8">
        <f>T67+T77</f>
        <v>5000</v>
      </c>
      <c r="U79" s="8">
        <f>U67+U77</f>
        <v>0</v>
      </c>
      <c r="V79" s="8">
        <f>T79+U79</f>
        <v>5000</v>
      </c>
      <c r="X79" s="8">
        <f>D79+H79+L79+P79+T79</f>
        <v>986729.38</v>
      </c>
      <c r="Y79" s="8">
        <f>E79+I79+M79+Q79+U79</f>
        <v>-248729.38</v>
      </c>
      <c r="Z79" s="8">
        <f>F79+J79+N79+R79+V79</f>
        <v>738000</v>
      </c>
    </row>
    <row r="80" spans="2:26" x14ac:dyDescent="0.25">
      <c r="B80" s="2"/>
      <c r="C80" s="2"/>
    </row>
    <row r="82" spans="4:18" x14ac:dyDescent="0.25">
      <c r="D82" t="s">
        <v>72</v>
      </c>
    </row>
    <row r="83" spans="4:18" x14ac:dyDescent="0.25">
      <c r="D83" s="2"/>
    </row>
    <row r="84" spans="4:18" x14ac:dyDescent="0.25">
      <c r="D84" s="2" t="s">
        <v>58</v>
      </c>
      <c r="E84" t="s">
        <v>417</v>
      </c>
    </row>
    <row r="85" spans="4:18" x14ac:dyDescent="0.25">
      <c r="D85" s="2" t="s">
        <v>60</v>
      </c>
      <c r="E85" t="s">
        <v>418</v>
      </c>
    </row>
    <row r="87" spans="4:18" x14ac:dyDescent="0.25">
      <c r="D87" t="s">
        <v>405</v>
      </c>
    </row>
    <row r="89" spans="4:18" x14ac:dyDescent="0.25">
      <c r="D89" s="36" t="s">
        <v>3</v>
      </c>
      <c r="E89" s="36"/>
      <c r="F89" s="36"/>
      <c r="H89" s="36" t="s">
        <v>4</v>
      </c>
      <c r="I89" s="36"/>
      <c r="J89" s="36"/>
      <c r="L89" s="36" t="s">
        <v>2</v>
      </c>
      <c r="M89" s="36"/>
      <c r="N89" s="36"/>
      <c r="P89" s="36" t="s">
        <v>13</v>
      </c>
      <c r="Q89" s="36"/>
      <c r="R89" s="36"/>
    </row>
    <row r="90" spans="4:18" x14ac:dyDescent="0.25">
      <c r="D90" s="6"/>
      <c r="E90" s="6"/>
      <c r="F90" s="6"/>
      <c r="H90" s="6"/>
      <c r="I90" s="6"/>
      <c r="J90" s="6"/>
    </row>
    <row r="91" spans="4:18" x14ac:dyDescent="0.25">
      <c r="E91" s="6" t="s">
        <v>110</v>
      </c>
      <c r="F91" s="6" t="s">
        <v>111</v>
      </c>
      <c r="I91" s="6" t="s">
        <v>110</v>
      </c>
      <c r="J91" s="6" t="s">
        <v>111</v>
      </c>
      <c r="M91" s="6" t="s">
        <v>110</v>
      </c>
      <c r="N91" s="6" t="s">
        <v>111</v>
      </c>
      <c r="Q91" s="6" t="s">
        <v>110</v>
      </c>
      <c r="R91" s="6" t="s">
        <v>111</v>
      </c>
    </row>
    <row r="92" spans="4:18" x14ac:dyDescent="0.25">
      <c r="E92" s="6"/>
      <c r="F92" s="6"/>
    </row>
    <row r="93" spans="4:18" x14ac:dyDescent="0.25">
      <c r="E93" s="2" t="s">
        <v>584</v>
      </c>
      <c r="F93" s="11">
        <v>0</v>
      </c>
      <c r="I93" s="2" t="s">
        <v>591</v>
      </c>
      <c r="J93" s="9">
        <v>656.82</v>
      </c>
      <c r="M93" s="2" t="s">
        <v>380</v>
      </c>
      <c r="N93" s="9">
        <v>16200</v>
      </c>
      <c r="Q93" s="2" t="s">
        <v>321</v>
      </c>
      <c r="R93" s="9">
        <v>163333.12</v>
      </c>
    </row>
    <row r="94" spans="4:18" x14ac:dyDescent="0.25">
      <c r="E94" s="2" t="s">
        <v>113</v>
      </c>
      <c r="F94" s="13">
        <f>SUM(F93:F93)</f>
        <v>0</v>
      </c>
      <c r="I94" s="2" t="s">
        <v>582</v>
      </c>
      <c r="J94" s="9">
        <v>74200</v>
      </c>
      <c r="M94" s="2" t="s">
        <v>382</v>
      </c>
      <c r="N94" s="9">
        <v>7000</v>
      </c>
      <c r="Q94" s="2" t="s">
        <v>591</v>
      </c>
      <c r="R94" s="9">
        <v>3435.96</v>
      </c>
    </row>
    <row r="95" spans="4:18" x14ac:dyDescent="0.25">
      <c r="I95" s="2" t="s">
        <v>306</v>
      </c>
      <c r="J95" s="9">
        <v>23927.5</v>
      </c>
      <c r="M95" s="2" t="s">
        <v>113</v>
      </c>
      <c r="N95" s="13">
        <f>SUM(N93:N94)</f>
        <v>23200</v>
      </c>
      <c r="Q95" s="2" t="s">
        <v>587</v>
      </c>
      <c r="R95" s="9">
        <v>15350</v>
      </c>
    </row>
    <row r="96" spans="4:18" x14ac:dyDescent="0.25">
      <c r="I96" s="2" t="s">
        <v>327</v>
      </c>
      <c r="J96" s="9">
        <v>884.79</v>
      </c>
      <c r="Q96" s="2" t="s">
        <v>382</v>
      </c>
      <c r="R96" s="9">
        <f>42000-4596.53</f>
        <v>37403.47</v>
      </c>
    </row>
    <row r="97" spans="4:18" x14ac:dyDescent="0.25">
      <c r="I97" s="2" t="s">
        <v>113</v>
      </c>
      <c r="J97" s="13">
        <f>SUM(J93:J96)</f>
        <v>99669.11</v>
      </c>
      <c r="Q97" s="2" t="s">
        <v>589</v>
      </c>
      <c r="R97" s="9">
        <v>87122.6</v>
      </c>
    </row>
    <row r="98" spans="4:18" x14ac:dyDescent="0.25">
      <c r="E98" s="1"/>
      <c r="F98" s="1"/>
      <c r="Q98" s="2" t="s">
        <v>113</v>
      </c>
      <c r="R98" s="13">
        <f>SUM(R93:R97)</f>
        <v>306645.15000000002</v>
      </c>
    </row>
    <row r="99" spans="4:18" x14ac:dyDescent="0.25">
      <c r="D99" s="6" t="s">
        <v>118</v>
      </c>
      <c r="E99" s="1"/>
    </row>
    <row r="100" spans="4:18" x14ac:dyDescent="0.25">
      <c r="D100" s="2" t="s">
        <v>58</v>
      </c>
      <c r="E100" t="str">
        <f>"FY2020 local surtax revenue will be " &amp; TEXT(Z64,"$#,0")</f>
        <v>FY2020 local surtax revenue will be $670,000</v>
      </c>
      <c r="R100" s="1"/>
    </row>
    <row r="101" spans="4:18" x14ac:dyDescent="0.25">
      <c r="D101" s="2" t="s">
        <v>60</v>
      </c>
      <c r="E101" t="str">
        <f>"FY2020 state match revenue (expected on 15 November 2019) will be " &amp; TEXT(Z65,"$#,0.00") &amp; " or " &amp; TEXT(Z12/Z10,"0.0%") &amp; " of expected FY2020 local surtax revenue"</f>
        <v>FY2020 state match revenue (expected on 15 November 2019) will be $67,000.00 or 27.0% of expected FY2020 local surtax revenue</v>
      </c>
      <c r="R101" s="1"/>
    </row>
    <row r="102" spans="4:18" x14ac:dyDescent="0.25">
      <c r="D102" s="2" t="s">
        <v>109</v>
      </c>
      <c r="E102" t="str">
        <f>"FY2020 interest earned will be " &amp; TEXT(Z66,"$#,0.00") &amp; "."</f>
        <v>FY2020 interest earned will be $1,000.00.</v>
      </c>
    </row>
    <row r="103" spans="4:18" x14ac:dyDescent="0.25">
      <c r="D103" s="2" t="s">
        <v>119</v>
      </c>
      <c r="E103" t="s">
        <v>348</v>
      </c>
    </row>
  </sheetData>
  <sortState xmlns:xlrd2="http://schemas.microsoft.com/office/spreadsheetml/2017/richdata2" ref="B30:Z40">
    <sortCondition ref="C30:C40"/>
  </sortState>
  <mergeCells count="11">
    <mergeCell ref="X4:Z4"/>
    <mergeCell ref="D4:F4"/>
    <mergeCell ref="H4:J4"/>
    <mergeCell ref="L4:N4"/>
    <mergeCell ref="P4:R4"/>
    <mergeCell ref="T4:V4"/>
    <mergeCell ref="A61:B61"/>
    <mergeCell ref="D89:F89"/>
    <mergeCell ref="H89:J89"/>
    <mergeCell ref="L89:N89"/>
    <mergeCell ref="P89:R89"/>
  </mergeCells>
  <printOptions horizontalCentered="1"/>
  <pageMargins left="0.25" right="0.25" top="0.75" bottom="0.75" header="0.3" footer="0.3"/>
  <pageSetup paperSize="5" scale="62" fitToHeight="3" orientation="landscape" r:id="rId1"/>
  <headerFooter>
    <oddFooter>&amp;L&amp;F&amp;CPage &amp;P of &amp;N&amp;R25 August 2019</oddFooter>
  </headerFooter>
  <rowBreaks count="1" manualBreakCount="1">
    <brk id="5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29</vt:i4>
      </vt:variant>
    </vt:vector>
  </HeadingPairs>
  <TitlesOfParts>
    <vt:vector size="52" baseType="lpstr">
      <vt:lpstr>Forecast FY27</vt:lpstr>
      <vt:lpstr>Forecast FY26</vt:lpstr>
      <vt:lpstr>FY25</vt:lpstr>
      <vt:lpstr>FY24</vt:lpstr>
      <vt:lpstr>FY23</vt:lpstr>
      <vt:lpstr>FY22</vt:lpstr>
      <vt:lpstr>FY21</vt:lpstr>
      <vt:lpstr>FY20</vt:lpstr>
      <vt:lpstr>FY19</vt:lpstr>
      <vt:lpstr>FY18</vt:lpstr>
      <vt:lpstr>FY17</vt:lpstr>
      <vt:lpstr>FY16</vt:lpstr>
      <vt:lpstr>FY15</vt:lpstr>
      <vt:lpstr>FY14</vt:lpstr>
      <vt:lpstr>FY13</vt:lpstr>
      <vt:lpstr>FY12</vt:lpstr>
      <vt:lpstr>FY11</vt:lpstr>
      <vt:lpstr>FY10</vt:lpstr>
      <vt:lpstr>FY09</vt:lpstr>
      <vt:lpstr>FY08</vt:lpstr>
      <vt:lpstr>FY07</vt:lpstr>
      <vt:lpstr>FY06</vt:lpstr>
      <vt:lpstr>Accounting Principals</vt:lpstr>
      <vt:lpstr>'FY12'!Print_Area</vt:lpstr>
      <vt:lpstr>'FY13'!Print_Area</vt:lpstr>
      <vt:lpstr>'FY14'!Print_Area</vt:lpstr>
      <vt:lpstr>'FY16'!Print_Area</vt:lpstr>
      <vt:lpstr>'FY17'!Print_Area</vt:lpstr>
      <vt:lpstr>'FY18'!Print_Area</vt:lpstr>
      <vt:lpstr>'FY19'!Print_Area</vt:lpstr>
      <vt:lpstr>'Forecast FY26'!Print_Titles</vt:lpstr>
      <vt:lpstr>'Forecast FY27'!Print_Titles</vt:lpstr>
      <vt:lpstr>'FY06'!Print_Titles</vt:lpstr>
      <vt:lpstr>'FY07'!Print_Titles</vt:lpstr>
      <vt:lpstr>'FY08'!Print_Titles</vt:lpstr>
      <vt:lpstr>'FY09'!Print_Titles</vt:lpstr>
      <vt:lpstr>'FY10'!Print_Titles</vt:lpstr>
      <vt:lpstr>'FY11'!Print_Titles</vt:lpstr>
      <vt:lpstr>'FY12'!Print_Titles</vt:lpstr>
      <vt:lpstr>'FY13'!Print_Titles</vt:lpstr>
      <vt:lpstr>'FY14'!Print_Titles</vt:lpstr>
      <vt:lpstr>'FY15'!Print_Titles</vt:lpstr>
      <vt:lpstr>'FY16'!Print_Titles</vt:lpstr>
      <vt:lpstr>'FY17'!Print_Titles</vt:lpstr>
      <vt:lpstr>'FY18'!Print_Titles</vt:lpstr>
      <vt:lpstr>'FY19'!Print_Titles</vt:lpstr>
      <vt:lpstr>'FY20'!Print_Titles</vt:lpstr>
      <vt:lpstr>'FY21'!Print_Titles</vt:lpstr>
      <vt:lpstr>'FY22'!Print_Titles</vt:lpstr>
      <vt:lpstr>'FY23'!Print_Titles</vt:lpstr>
      <vt:lpstr>'FY24'!Print_Titles</vt:lpstr>
      <vt:lpstr>'FY25'!Print_Titles</vt:lpstr>
    </vt:vector>
  </TitlesOfParts>
  <Company>Easom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dc:creator>
  <cp:lastModifiedBy>Bruce H. Easom</cp:lastModifiedBy>
  <cp:lastPrinted>2025-10-18T22:16:16Z</cp:lastPrinted>
  <dcterms:created xsi:type="dcterms:W3CDTF">2010-08-19T00:20:42Z</dcterms:created>
  <dcterms:modified xsi:type="dcterms:W3CDTF">2025-10-28T00:57:51Z</dcterms:modified>
</cp:coreProperties>
</file>